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Arkusz1!$5:$8</definedName>
  </definedNames>
  <calcPr calcId="145621"/>
</workbook>
</file>

<file path=xl/calcChain.xml><?xml version="1.0" encoding="utf-8"?>
<calcChain xmlns="http://schemas.openxmlformats.org/spreadsheetml/2006/main">
  <c r="H12" i="1" l="1"/>
  <c r="H9" i="1"/>
  <c r="E96" i="1"/>
  <c r="E87" i="1"/>
  <c r="G89" i="1"/>
  <c r="G14" i="1" s="1"/>
  <c r="H89" i="1"/>
  <c r="I89" i="1"/>
  <c r="J89" i="1"/>
  <c r="K89" i="1"/>
  <c r="F89" i="1"/>
  <c r="G88" i="1"/>
  <c r="H88" i="1"/>
  <c r="I88" i="1"/>
  <c r="J88" i="1"/>
  <c r="K88" i="1"/>
  <c r="F88" i="1"/>
  <c r="G87" i="1"/>
  <c r="H87" i="1"/>
  <c r="I87" i="1"/>
  <c r="J87" i="1"/>
  <c r="K87" i="1"/>
  <c r="F87" i="1"/>
  <c r="G17" i="1"/>
  <c r="H17" i="1"/>
  <c r="I17" i="1"/>
  <c r="I14" i="1" s="1"/>
  <c r="J17" i="1"/>
  <c r="K17" i="1"/>
  <c r="G16" i="1"/>
  <c r="G13" i="1" s="1"/>
  <c r="H16" i="1"/>
  <c r="I16" i="1"/>
  <c r="I13" i="1" s="1"/>
  <c r="J16" i="1"/>
  <c r="K16" i="1"/>
  <c r="F16" i="1"/>
  <c r="G15" i="1"/>
  <c r="H15" i="1"/>
  <c r="I15" i="1"/>
  <c r="J15" i="1"/>
  <c r="K15" i="1"/>
  <c r="F15" i="1"/>
  <c r="H14" i="1"/>
  <c r="J14" i="1"/>
  <c r="H13" i="1"/>
  <c r="J13" i="1"/>
  <c r="K14" i="1" l="1"/>
  <c r="K13" i="1"/>
  <c r="K10" i="1" s="1"/>
  <c r="E134" i="1"/>
  <c r="E133" i="1"/>
  <c r="E132" i="1"/>
  <c r="H131" i="1"/>
  <c r="F131" i="1"/>
  <c r="E131" i="1"/>
  <c r="E130" i="1"/>
  <c r="H129" i="1"/>
  <c r="F129" i="1"/>
  <c r="E129" i="1"/>
  <c r="G128" i="1"/>
  <c r="G126" i="1" s="1"/>
  <c r="F128" i="1"/>
  <c r="F126" i="1" s="1"/>
  <c r="E128" i="1"/>
  <c r="E127" i="1"/>
  <c r="E126" i="1"/>
  <c r="I125" i="1"/>
  <c r="F125" i="1"/>
  <c r="E125" i="1"/>
  <c r="E124" i="1"/>
  <c r="I123" i="1"/>
  <c r="F123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F109" i="1"/>
  <c r="E109" i="1"/>
  <c r="F108" i="1"/>
  <c r="E108" i="1"/>
  <c r="G107" i="1"/>
  <c r="F107" i="1"/>
  <c r="E107" i="1"/>
  <c r="E106" i="1"/>
  <c r="G105" i="1"/>
  <c r="F105" i="1"/>
  <c r="E105" i="1"/>
  <c r="E104" i="1"/>
  <c r="E103" i="1"/>
  <c r="E102" i="1"/>
  <c r="E101" i="1"/>
  <c r="E100" i="1"/>
  <c r="E99" i="1"/>
  <c r="H98" i="1"/>
  <c r="G98" i="1"/>
  <c r="F98" i="1"/>
  <c r="F96" i="1" s="1"/>
  <c r="E98" i="1"/>
  <c r="E97" i="1"/>
  <c r="H96" i="1"/>
  <c r="E95" i="1"/>
  <c r="E94" i="1"/>
  <c r="E93" i="1"/>
  <c r="E92" i="1"/>
  <c r="E91" i="1"/>
  <c r="E90" i="1"/>
  <c r="E86" i="1"/>
  <c r="G85" i="1"/>
  <c r="F85" i="1"/>
  <c r="E85" i="1"/>
  <c r="G84" i="1"/>
  <c r="F84" i="1"/>
  <c r="E83" i="1"/>
  <c r="F82" i="1"/>
  <c r="E82" i="1"/>
  <c r="F81" i="1"/>
  <c r="E81" i="1"/>
  <c r="E80" i="1"/>
  <c r="F79" i="1"/>
  <c r="E79" i="1"/>
  <c r="F78" i="1"/>
  <c r="E78" i="1"/>
  <c r="E77" i="1"/>
  <c r="F76" i="1"/>
  <c r="E76" i="1"/>
  <c r="F74" i="1"/>
  <c r="E74" i="1"/>
  <c r="F72" i="1"/>
  <c r="E72" i="1"/>
  <c r="E71" i="1"/>
  <c r="F68" i="1"/>
  <c r="E68" i="1"/>
  <c r="F67" i="1"/>
  <c r="E67" i="1"/>
  <c r="E66" i="1"/>
  <c r="E65" i="1"/>
  <c r="F64" i="1"/>
  <c r="E64" i="1"/>
  <c r="F63" i="1"/>
  <c r="E63" i="1"/>
  <c r="G61" i="1"/>
  <c r="G60" i="1"/>
  <c r="E60" i="1"/>
  <c r="E59" i="1"/>
  <c r="E58" i="1"/>
  <c r="E57" i="1"/>
  <c r="F52" i="1"/>
  <c r="E52" i="1"/>
  <c r="F51" i="1"/>
  <c r="E51" i="1"/>
  <c r="E50" i="1"/>
  <c r="E49" i="1"/>
  <c r="E48" i="1"/>
  <c r="E47" i="1"/>
  <c r="E46" i="1"/>
  <c r="E45" i="1"/>
  <c r="G44" i="1"/>
  <c r="G43" i="1" s="1"/>
  <c r="F44" i="1"/>
  <c r="F43" i="1" s="1"/>
  <c r="E44" i="1"/>
  <c r="E43" i="1"/>
  <c r="E42" i="1"/>
  <c r="E41" i="1"/>
  <c r="F40" i="1"/>
  <c r="E40" i="1"/>
  <c r="G38" i="1"/>
  <c r="F38" i="1"/>
  <c r="G36" i="1"/>
  <c r="F36" i="1"/>
  <c r="F34" i="1" s="1"/>
  <c r="E36" i="1"/>
  <c r="E34" i="1" s="1"/>
  <c r="E35" i="1"/>
  <c r="E32" i="1"/>
  <c r="E31" i="1"/>
  <c r="E30" i="1"/>
  <c r="E29" i="1"/>
  <c r="F28" i="1"/>
  <c r="F27" i="1" s="1"/>
  <c r="E28" i="1"/>
  <c r="E27" i="1"/>
  <c r="G26" i="1"/>
  <c r="F26" i="1"/>
  <c r="E26" i="1"/>
  <c r="G25" i="1"/>
  <c r="F25" i="1"/>
  <c r="E25" i="1"/>
  <c r="G24" i="1"/>
  <c r="F24" i="1"/>
  <c r="E24" i="1"/>
  <c r="E23" i="1"/>
  <c r="E22" i="1"/>
  <c r="E21" i="1"/>
  <c r="G20" i="1"/>
  <c r="F20" i="1"/>
  <c r="E20" i="1"/>
  <c r="E19" i="1"/>
  <c r="G18" i="1"/>
  <c r="E18" i="1"/>
  <c r="K11" i="1"/>
  <c r="J11" i="1"/>
  <c r="I11" i="1"/>
  <c r="H11" i="1"/>
  <c r="J10" i="1"/>
  <c r="I10" i="1"/>
  <c r="H10" i="1"/>
  <c r="J12" i="1"/>
  <c r="J9" i="1" s="1"/>
  <c r="I12" i="1"/>
  <c r="I9" i="1" s="1"/>
  <c r="E70" i="1" l="1"/>
  <c r="K12" i="1"/>
  <c r="K9" i="1" s="1"/>
  <c r="F66" i="1"/>
  <c r="E84" i="1"/>
  <c r="E89" i="1"/>
  <c r="G34" i="1"/>
  <c r="G33" i="1" s="1"/>
  <c r="F70" i="1"/>
  <c r="F69" i="1" s="1"/>
  <c r="F17" i="1"/>
  <c r="F13" i="1"/>
  <c r="F10" i="1" s="1"/>
  <c r="E17" i="1"/>
  <c r="E14" i="1" s="1"/>
  <c r="E11" i="1" s="1"/>
  <c r="E88" i="1"/>
  <c r="F33" i="1"/>
  <c r="E16" i="1"/>
  <c r="G11" i="1"/>
  <c r="E33" i="1"/>
  <c r="E69" i="1"/>
  <c r="G96" i="1"/>
  <c r="E13" i="1" l="1"/>
  <c r="E10" i="1" s="1"/>
  <c r="G10" i="1"/>
  <c r="F14" i="1"/>
  <c r="F11" i="1" s="1"/>
  <c r="F9" i="1" s="1"/>
  <c r="E15" i="1"/>
  <c r="E12" i="1" s="1"/>
  <c r="E9" i="1" s="1"/>
  <c r="G12" i="1"/>
  <c r="G9" i="1" s="1"/>
  <c r="F12" i="1" l="1"/>
</calcChain>
</file>

<file path=xl/sharedStrings.xml><?xml version="1.0" encoding="utf-8"?>
<sst xmlns="http://schemas.openxmlformats.org/spreadsheetml/2006/main" count="205" uniqueCount="101">
  <si>
    <t>Lp.</t>
  </si>
  <si>
    <t>Nazwa i cel przedsięwzięcia</t>
  </si>
  <si>
    <t>Okres realizacji</t>
  </si>
  <si>
    <t>Jednostka organizacyjna odpowiedzialna za realizację lub koordynująca wykonywanie przedsięwzięcia</t>
  </si>
  <si>
    <t>Łączne nakłady finansowe</t>
  </si>
  <si>
    <t>Nakłady w poszczególnych latach / Limit zobowiązań</t>
  </si>
  <si>
    <t>Przedsięwzięcia ogółem</t>
  </si>
  <si>
    <t>- wydatki bieżące</t>
  </si>
  <si>
    <t>- wydatki majątkowe</t>
  </si>
  <si>
    <t>1)</t>
  </si>
  <si>
    <t>programy, projekty lub zadania (razem)</t>
  </si>
  <si>
    <t>a)</t>
  </si>
  <si>
    <t>programy, projekty lub zadania związane z programami realizowanymi z udziałem środków, o których mowa w art. 5 ust. 1 pkt 2 i 3 (razem)</t>
  </si>
  <si>
    <t>- wydatki bieżące ogółem</t>
  </si>
  <si>
    <t>- wydatki majątkowe ogółem</t>
  </si>
  <si>
    <r>
      <t>Program: RPO WO 2007-20013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"Rewitalizacja budynku byłego internatu Zespołu Szkół Ekonomicznych przy ul. Wyszyńskiego 23 w Brzegu na funkcje turystyczne"</t>
    </r>
  </si>
  <si>
    <t>2009-2012</t>
  </si>
  <si>
    <t>Zarząd Dróg Powiatowych                  w Brzegu</t>
  </si>
  <si>
    <r>
      <t>Program: Pomoc techniczna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"Funkcjonowanie sieci Punktów Informacyjnych o Funduszach Europejskich"</t>
    </r>
  </si>
  <si>
    <t>2009-2015</t>
  </si>
  <si>
    <t>Starostwo Powiatowe                  w Brzegu</t>
  </si>
  <si>
    <r>
      <t>Program: RPO     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"E-Urząd - elektroniczna platforma usług dla mieszkańców Powiatu Brzeskiego"</t>
    </r>
  </si>
  <si>
    <t>2007-2012</t>
  </si>
  <si>
    <t>Starostwo Powiatowe                 w Brzegu</t>
  </si>
  <si>
    <r>
      <t>Program: RPO WO 2007-2013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"Podniesienie umiejętności i kwalifikacji urzędników z powiatów brzeskiego i nyskiego, w celu poprawy jakości obsługi klienta i inwestora"</t>
    </r>
  </si>
  <si>
    <t>2009-2011</t>
  </si>
  <si>
    <t>Starostwo Powiatowe               w Brzegu</t>
  </si>
  <si>
    <r>
      <t>Program: PO KL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"Sprawny Samorząd. Wdrażanie usprawnień w zarządzaniu jednostką samorządu terytorialnego w 10 urzędach gmin i 2 starostwach powiatowych z terenu województwa opolskiego i śląskiego"</t>
    </r>
  </si>
  <si>
    <t>Gmina Kedzierzyn - Koźle                 Starostwo Powiatowe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</si>
  <si>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"Wysokie kwalifikacje nauczycieli inwestycją w lepszą przyszłość młodzieży" </t>
    </r>
  </si>
  <si>
    <t>2010-2012</t>
  </si>
  <si>
    <t>Starostwo Powiatowe                          w Brzegu</t>
  </si>
  <si>
    <t>- wydatki bieżące razem</t>
  </si>
  <si>
    <t>- wydatki majątkowe razem</t>
  </si>
  <si>
    <r>
      <t>Program: PO KL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"Sapere aude - odważ się być mądrym" </t>
    </r>
  </si>
  <si>
    <t>2010-2011</t>
  </si>
  <si>
    <t>Starostwo Powiatowe                     w Brzegu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</si>
  <si>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"Aktywnie w przyszłość" </t>
    </r>
  </si>
  <si>
    <t>2011-2012</t>
  </si>
  <si>
    <r>
      <t>Program: RPO WO 2007-2013</t>
    </r>
    <r>
      <rPr>
        <b/>
        <sz val="12"/>
        <rFont val="Arial CE"/>
        <charset val="238"/>
      </rPr>
      <t xml:space="preserve">                                                                                                           </t>
    </r>
    <r>
      <rPr>
        <sz val="12"/>
        <rFont val="Arial CE"/>
        <charset val="238"/>
      </rPr>
      <t>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"Opolska e-Szkoła, szkołą ku przyszłości" </t>
    </r>
  </si>
  <si>
    <t>Starostwo Powiatowe                      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</si>
  <si>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"Nakręć się na przyszłość" </t>
    </r>
  </si>
  <si>
    <t>Starostwo Powiatowe                              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</si>
  <si>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"Profesjonalni w zawodzie" </t>
    </r>
  </si>
  <si>
    <t>Starostwo Powiatowe                   w Brzegu</t>
  </si>
  <si>
    <r>
      <t>Program: LEONARDO DA VINCI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"Zdobywamy doświadczenie zawodowe za granicą"</t>
    </r>
  </si>
  <si>
    <t>Zespół Szkół Rolniczych                      w Żłobiźnie</t>
  </si>
  <si>
    <r>
      <t>Program: RPO WO 2007-2013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"Wykorzystanie energii słonecznej przy modernizacji budynków Brzeskiego Centrum Medycznego w Brzegu"</t>
    </r>
  </si>
  <si>
    <t>2007-2011</t>
  </si>
  <si>
    <t>Starostwo Powiatowe                                                 w Brzegu</t>
  </si>
  <si>
    <r>
      <t>Program: PO KL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"Program zajęć dodatkowych wspierających rozwój kompetencji kluczowych uczniów szkół gimnazjalnych województwa opolskiego w roku szkolnym 2010/2011"</t>
    </r>
  </si>
  <si>
    <t>Starostwo Powiatowe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</si>
  <si>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"Aktywizacja zawodowa i społeczna wychowanków placówek opiekuńczo-wychowawczych i osób niepełnosprawnych"</t>
    </r>
  </si>
  <si>
    <t>2008-2013</t>
  </si>
  <si>
    <t>Powiatowe Centrum Pomocy Rodzinie                                             w Brzegu</t>
  </si>
  <si>
    <r>
      <t>Program: PO KL       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"Kwalifikacje i Staż - Pracę Masz"</t>
    </r>
  </si>
  <si>
    <t>Powiatowe Centrum Pomocy Rodzinie                                          w Brzegu</t>
  </si>
  <si>
    <r>
      <t>Program: LEONARDO DA VINCI                                                                                                                  Projekt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"Hiszpańskie metody pracy"</t>
    </r>
  </si>
  <si>
    <t>Powiatowy Urząd Pracy                  w Brzegu</t>
  </si>
  <si>
    <t>b)</t>
  </si>
  <si>
    <t>programy, projekty lub zadania pozostałe (razem)</t>
  </si>
  <si>
    <r>
      <t xml:space="preserve">Zadanie pn. </t>
    </r>
    <r>
      <rPr>
        <b/>
        <i/>
        <sz val="12"/>
        <rFont val="Arial CE"/>
        <charset val="238"/>
      </rPr>
      <t>"Wypłata ekwiwalentów za zalesienie gruntów"</t>
    </r>
  </si>
  <si>
    <t>2011-2016</t>
  </si>
  <si>
    <t>Starostwo Powiatowe                                                       w Brzegu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</si>
  <si>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"Przebudowa wraz z budową infrastruktury drogi powiatowej nr 1174 O i 1175 O Łukowice Brzeskie - Brzeg"</t>
    </r>
  </si>
  <si>
    <t>2010-2014</t>
  </si>
  <si>
    <t xml:space="preserve">Zarząd Dróg Powiatowych                    w Brzegu </t>
  </si>
  <si>
    <t xml:space="preserve">- wydatki majątkowe 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</si>
  <si>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"Przebudowa wraz z budową infrastruktury drogi powiatowej nr 1518 O Wójtowice - Jaszów"</t>
    </r>
  </si>
  <si>
    <t>2010-2013</t>
  </si>
  <si>
    <t>Zarząd Dróg Powiatowych                    w Brzegu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</si>
  <si>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"Odbudowa mostu w ciągu drogi powiatowej nr 1507 O na rzece Nysa Kłodzka w miejscowości Głębocko"</t>
    </r>
  </si>
  <si>
    <t xml:space="preserve">Zarząd Dróg Powiatowych                  w Brzegu 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</si>
  <si>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"Budowa chodników na terenie Gminy Lubsza"</t>
    </r>
  </si>
  <si>
    <t>2011-2013</t>
  </si>
  <si>
    <t xml:space="preserve">Zarząd Dróg Powiatowych                       w Brzegu 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</si>
  <si>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"Budowa chodników wraz z odwodnieniem przy drogach powiatowych na terenie miasta i gminy Grodków"</t>
    </r>
  </si>
  <si>
    <t xml:space="preserve">Zarząd Dróg Powiatowych                                  w Brzegu 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</si>
  <si>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>"Remont drogi powiatowej nr 1172 O Brzeg - Lipki"</t>
    </r>
  </si>
  <si>
    <t xml:space="preserve">Zarząd Dróg Powiatowych                        w Brzegu </t>
  </si>
  <si>
    <r>
      <t>Zadanie pn.</t>
    </r>
    <r>
      <rPr>
        <b/>
        <i/>
        <sz val="12"/>
        <rFont val="Arial CE"/>
        <charset val="238"/>
      </rPr>
      <t xml:space="preserve"> "Modernizacja ewidencji gruntów i budynków gminy Grodków - obszar wiejski"</t>
    </r>
  </si>
  <si>
    <r>
      <t>Zadanie pn.</t>
    </r>
    <r>
      <rPr>
        <b/>
        <i/>
        <sz val="12"/>
        <rFont val="Arial CE"/>
        <charset val="238"/>
      </rPr>
      <t xml:space="preserve"> "Przekształcenie mapy zasadniczej do postaci cyfrowej i utworzenie baz danych"</t>
    </r>
  </si>
  <si>
    <t>2013-2015</t>
  </si>
  <si>
    <r>
      <t>Zadanie pn.</t>
    </r>
    <r>
      <rPr>
        <b/>
        <i/>
        <sz val="12"/>
        <rFont val="Arial CE"/>
        <charset val="238"/>
      </rPr>
      <t xml:space="preserve"> "Elektroniczna archiwizacja materiałów powiatowego zasobu geodezyjnego i kartograficznego - zasobu bazowego i użytkowego"</t>
    </r>
  </si>
  <si>
    <t>2013-2016</t>
  </si>
  <si>
    <r>
      <t>Zadanie pn.</t>
    </r>
    <r>
      <rPr>
        <b/>
        <i/>
        <sz val="12"/>
        <rFont val="Arial CE"/>
        <charset val="238"/>
      </rPr>
      <t xml:space="preserve"> "Modernizacja geodezyjnej osnowy szczegółowej poziomej i wysokościowej"</t>
    </r>
  </si>
  <si>
    <t>2015-2016</t>
  </si>
  <si>
    <t>Starostwo Powiatowe                                          w Brzegu</t>
  </si>
  <si>
    <r>
      <t>Zadanie pn.</t>
    </r>
    <r>
      <rPr>
        <b/>
        <i/>
        <sz val="12"/>
        <rFont val="Arial CE"/>
        <charset val="238"/>
      </rPr>
      <t xml:space="preserve"> "Termomodernizacja budynku Zespołu Szkół Specjalnych w Brzegu ul. Mossora 4"</t>
    </r>
  </si>
  <si>
    <t>2011-2014</t>
  </si>
  <si>
    <t>Zespół Szkół Specjalnych                                          w Brzegu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</si>
  <si>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"Termomodernizacja obiektu Zespołu Szkół Zawodowych nr 1 w Brzegu" </t>
    </r>
  </si>
  <si>
    <t>Starostwo Powiatowe                                      w Brzegu</t>
  </si>
  <si>
    <r>
      <t>Zadanie pn.</t>
    </r>
    <r>
      <rPr>
        <b/>
        <sz val="12"/>
        <rFont val="Arial CE"/>
        <charset val="238"/>
      </rPr>
      <t xml:space="preserve"> </t>
    </r>
    <r>
      <rPr>
        <b/>
        <i/>
        <sz val="12"/>
        <rFont val="Arial CE"/>
        <charset val="238"/>
      </rPr>
      <t xml:space="preserve">"Termomodernizacja obiektu budynku Zakładu Opieki Leczniczej w Brzegu ul. Mossora 1" </t>
    </r>
  </si>
  <si>
    <r>
      <t>Zadanie pn.</t>
    </r>
    <r>
      <rPr>
        <b/>
        <i/>
        <sz val="12"/>
        <rFont val="Arial CE"/>
        <charset val="238"/>
      </rPr>
      <t>"Program Ochrony Środowiska i Plan Gospodarki Odpadami"</t>
    </r>
  </si>
  <si>
    <t>Specjalny Ośrodek Szkolno - Wychowawczy w Grodkowie</t>
  </si>
  <si>
    <t>Zespół  Szkół Rolniczych                      w Żłobiźnie</t>
  </si>
  <si>
    <t>do uchwały nr XV/104/11</t>
  </si>
  <si>
    <t>Rady Powiatu Brzeskiego</t>
  </si>
  <si>
    <t>z dnia 22 grudnia 2011 r.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</si>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</sst>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i/>
      <sz val="12"/>
      <name val="Arial CE"/>
      <charset val="238"/>
    </font>
    <font>
      <sz val="11"/>
      <color indexed="10"/>
      <name val="Arial CE"/>
      <charset val="238"/>
    </font>
    <font>
      <sz val="10"/>
      <name val="Arial CE"/>
      <charset val="238"/>
    </font>
    <font>
      <sz val="12"/>
      <color theme="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15" xfId="0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right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24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right" vertical="center" wrapText="1"/>
    </xf>
    <xf numFmtId="3" fontId="1" fillId="0" borderId="34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right" vertical="center"/>
    </xf>
    <xf numFmtId="3" fontId="1" fillId="3" borderId="37" xfId="0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center" vertical="center"/>
    </xf>
    <xf numFmtId="3" fontId="1" fillId="3" borderId="31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horizontal="right" vertical="center" wrapText="1"/>
    </xf>
    <xf numFmtId="3" fontId="2" fillId="0" borderId="31" xfId="0" applyNumberFormat="1" applyFont="1" applyFill="1" applyBorder="1" applyAlignment="1">
      <alignment horizontal="right" vertical="center" wrapText="1"/>
    </xf>
    <xf numFmtId="0" fontId="1" fillId="0" borderId="42" xfId="0" applyFont="1" applyFill="1" applyBorder="1" applyAlignment="1">
      <alignment horizontal="center" vertical="center"/>
    </xf>
    <xf numFmtId="3" fontId="1" fillId="3" borderId="43" xfId="0" applyNumberFormat="1" applyFont="1" applyFill="1" applyBorder="1" applyAlignment="1">
      <alignment horizontal="right" vertical="center"/>
    </xf>
    <xf numFmtId="3" fontId="2" fillId="0" borderId="44" xfId="0" applyNumberFormat="1" applyFont="1" applyFill="1" applyBorder="1" applyAlignment="1">
      <alignment horizontal="right" vertical="center" wrapText="1"/>
    </xf>
    <xf numFmtId="3" fontId="2" fillId="0" borderId="43" xfId="0" applyNumberFormat="1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right" vertical="center"/>
    </xf>
    <xf numFmtId="3" fontId="1" fillId="4" borderId="47" xfId="0" applyNumberFormat="1" applyFont="1" applyFill="1" applyBorder="1" applyAlignment="1">
      <alignment horizontal="right" vertical="center" wrapText="1"/>
    </xf>
    <xf numFmtId="3" fontId="1" fillId="4" borderId="15" xfId="0" applyNumberFormat="1" applyFont="1" applyFill="1" applyBorder="1" applyAlignment="1">
      <alignment horizontal="right" vertical="center" wrapText="1"/>
    </xf>
    <xf numFmtId="3" fontId="1" fillId="3" borderId="30" xfId="0" applyNumberFormat="1" applyFont="1" applyFill="1" applyBorder="1" applyAlignment="1">
      <alignment horizontal="right" vertical="center"/>
    </xf>
    <xf numFmtId="3" fontId="1" fillId="0" borderId="49" xfId="0" applyNumberFormat="1" applyFont="1" applyFill="1" applyBorder="1" applyAlignment="1">
      <alignment horizontal="right" vertical="center" wrapText="1"/>
    </xf>
    <xf numFmtId="3" fontId="1" fillId="0" borderId="31" xfId="0" applyNumberFormat="1" applyFont="1" applyFill="1" applyBorder="1" applyAlignment="1">
      <alignment horizontal="right" vertical="center" wrapText="1"/>
    </xf>
    <xf numFmtId="3" fontId="1" fillId="3" borderId="51" xfId="0" applyNumberFormat="1" applyFont="1" applyFill="1" applyBorder="1" applyAlignment="1">
      <alignment horizontal="right" vertical="center"/>
    </xf>
    <xf numFmtId="3" fontId="1" fillId="0" borderId="52" xfId="0" applyNumberFormat="1" applyFont="1" applyFill="1" applyBorder="1" applyAlignment="1">
      <alignment horizontal="right" vertical="center" wrapText="1"/>
    </xf>
    <xf numFmtId="3" fontId="1" fillId="0" borderId="42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3" fontId="1" fillId="3" borderId="24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3" fontId="3" fillId="0" borderId="58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49" fontId="3" fillId="0" borderId="41" xfId="0" applyNumberFormat="1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49" fontId="3" fillId="0" borderId="60" xfId="0" applyNumberFormat="1" applyFont="1" applyFill="1" applyBorder="1" applyAlignment="1">
      <alignment vertical="center" wrapText="1"/>
    </xf>
    <xf numFmtId="3" fontId="1" fillId="3" borderId="42" xfId="0" applyNumberFormat="1" applyFont="1" applyFill="1" applyBorder="1" applyAlignment="1">
      <alignment horizontal="right" vertical="center"/>
    </xf>
    <xf numFmtId="3" fontId="3" fillId="0" borderId="62" xfId="0" applyNumberFormat="1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3" fontId="3" fillId="0" borderId="42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 wrapText="1"/>
    </xf>
    <xf numFmtId="3" fontId="3" fillId="0" borderId="6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49" fontId="3" fillId="0" borderId="30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horizontal="right" vertical="center"/>
    </xf>
    <xf numFmtId="49" fontId="3" fillId="0" borderId="51" xfId="0" applyNumberFormat="1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49" fontId="5" fillId="0" borderId="5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right" vertical="center"/>
    </xf>
    <xf numFmtId="3" fontId="5" fillId="0" borderId="3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vertical="center" wrapText="1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48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49" fontId="3" fillId="0" borderId="50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horizontal="right" vertical="center"/>
    </xf>
    <xf numFmtId="49" fontId="5" fillId="0" borderId="53" xfId="0" applyNumberFormat="1" applyFont="1" applyFill="1" applyBorder="1" applyAlignment="1">
      <alignment vertical="center" wrapText="1"/>
    </xf>
    <xf numFmtId="0" fontId="5" fillId="0" borderId="68" xfId="0" applyFont="1" applyBorder="1" applyAlignment="1">
      <alignment horizontal="right" vertical="center"/>
    </xf>
    <xf numFmtId="0" fontId="3" fillId="0" borderId="58" xfId="0" applyFont="1" applyFill="1" applyBorder="1" applyAlignment="1">
      <alignment horizontal="left" vertical="center" wrapText="1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71" xfId="0" applyNumberFormat="1" applyFont="1" applyFill="1" applyBorder="1" applyAlignment="1">
      <alignment vertical="center" wrapText="1"/>
    </xf>
    <xf numFmtId="3" fontId="1" fillId="3" borderId="72" xfId="0" applyNumberFormat="1" applyFont="1" applyFill="1" applyBorder="1" applyAlignment="1">
      <alignment horizontal="right" vertical="center"/>
    </xf>
    <xf numFmtId="3" fontId="3" fillId="0" borderId="73" xfId="0" applyNumberFormat="1" applyFont="1" applyFill="1" applyBorder="1" applyAlignment="1">
      <alignment horizontal="right" vertical="center"/>
    </xf>
    <xf numFmtId="3" fontId="3" fillId="0" borderId="74" xfId="0" applyNumberFormat="1" applyFont="1" applyFill="1" applyBorder="1" applyAlignment="1">
      <alignment horizontal="right" vertical="center"/>
    </xf>
    <xf numFmtId="3" fontId="3" fillId="0" borderId="75" xfId="0" applyNumberFormat="1" applyFont="1" applyFill="1" applyBorder="1" applyAlignment="1">
      <alignment horizontal="right" vertical="center"/>
    </xf>
    <xf numFmtId="49" fontId="6" fillId="0" borderId="58" xfId="0" applyNumberFormat="1" applyFont="1" applyFill="1" applyBorder="1" applyAlignment="1">
      <alignment horizontal="left" vertical="center" wrapText="1"/>
    </xf>
    <xf numFmtId="3" fontId="3" fillId="0" borderId="59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9" fontId="5" fillId="0" borderId="60" xfId="0" applyNumberFormat="1" applyFont="1" applyFill="1" applyBorder="1" applyAlignment="1">
      <alignment vertical="center" wrapText="1"/>
    </xf>
    <xf numFmtId="3" fontId="5" fillId="0" borderId="62" xfId="0" applyNumberFormat="1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67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right" vertical="center"/>
    </xf>
    <xf numFmtId="3" fontId="7" fillId="0" borderId="31" xfId="0" applyNumberFormat="1" applyFont="1" applyFill="1" applyBorder="1" applyAlignment="1">
      <alignment horizontal="right" vertical="center"/>
    </xf>
    <xf numFmtId="49" fontId="3" fillId="0" borderId="78" xfId="0" applyNumberFormat="1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60" xfId="0" applyNumberFormat="1" applyFont="1" applyFill="1" applyBorder="1" applyAlignment="1">
      <alignment horizontal="left" vertical="center" wrapText="1"/>
    </xf>
    <xf numFmtId="3" fontId="3" fillId="0" borderId="68" xfId="0" applyNumberFormat="1" applyFont="1" applyFill="1" applyBorder="1" applyAlignment="1">
      <alignment horizontal="right" vertical="center"/>
    </xf>
    <xf numFmtId="3" fontId="3" fillId="0" borderId="60" xfId="0" applyNumberFormat="1" applyFont="1" applyFill="1" applyBorder="1" applyAlignment="1">
      <alignment horizontal="right" vertical="center"/>
    </xf>
    <xf numFmtId="3" fontId="7" fillId="0" borderId="42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1" fillId="3" borderId="24" xfId="0" applyNumberFormat="1" applyFont="1" applyFill="1" applyBorder="1" applyAlignment="1">
      <alignment vertical="center"/>
    </xf>
    <xf numFmtId="3" fontId="3" fillId="0" borderId="26" xfId="0" applyNumberFormat="1" applyFont="1" applyBorder="1"/>
    <xf numFmtId="0" fontId="3" fillId="0" borderId="31" xfId="0" applyFont="1" applyBorder="1"/>
    <xf numFmtId="0" fontId="3" fillId="0" borderId="25" xfId="0" applyFont="1" applyBorder="1"/>
    <xf numFmtId="49" fontId="3" fillId="0" borderId="79" xfId="0" applyNumberFormat="1" applyFont="1" applyFill="1" applyBorder="1" applyAlignment="1">
      <alignment vertical="center" wrapText="1"/>
    </xf>
    <xf numFmtId="3" fontId="1" fillId="3" borderId="72" xfId="0" applyNumberFormat="1" applyFont="1" applyFill="1" applyBorder="1" applyAlignment="1">
      <alignment vertical="center"/>
    </xf>
    <xf numFmtId="3" fontId="3" fillId="0" borderId="80" xfId="0" applyNumberFormat="1" applyFont="1" applyBorder="1"/>
    <xf numFmtId="0" fontId="3" fillId="0" borderId="72" xfId="0" applyFont="1" applyBorder="1"/>
    <xf numFmtId="0" fontId="3" fillId="0" borderId="81" xfId="0" applyFont="1" applyBorder="1"/>
    <xf numFmtId="49" fontId="6" fillId="0" borderId="22" xfId="0" applyNumberFormat="1" applyFont="1" applyFill="1" applyBorder="1" applyAlignment="1">
      <alignment vertical="center" wrapText="1"/>
    </xf>
    <xf numFmtId="3" fontId="3" fillId="0" borderId="57" xfId="0" applyNumberFormat="1" applyFont="1" applyBorder="1" applyAlignment="1">
      <alignment horizontal="right" vertical="center"/>
    </xf>
    <xf numFmtId="49" fontId="6" fillId="0" borderId="41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>
      <alignment horizontal="right" vertical="center"/>
    </xf>
    <xf numFmtId="49" fontId="6" fillId="0" borderId="60" xfId="0" applyNumberFormat="1" applyFont="1" applyFill="1" applyBorder="1" applyAlignment="1">
      <alignment vertical="center" wrapText="1"/>
    </xf>
    <xf numFmtId="3" fontId="3" fillId="0" borderId="53" xfId="0" applyNumberFormat="1" applyFont="1" applyBorder="1" applyAlignment="1">
      <alignment horizontal="right" vertical="center"/>
    </xf>
    <xf numFmtId="49" fontId="3" fillId="0" borderId="46" xfId="0" applyNumberFormat="1" applyFont="1" applyFill="1" applyBorder="1" applyAlignment="1">
      <alignment vertical="center" wrapText="1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43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82" xfId="0" applyNumberFormat="1" applyFont="1" applyFill="1" applyBorder="1" applyAlignment="1">
      <alignment horizontal="right" vertical="center"/>
    </xf>
    <xf numFmtId="3" fontId="3" fillId="0" borderId="83" xfId="0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85" xfId="0" applyNumberFormat="1" applyFont="1" applyFill="1" applyBorder="1" applyAlignment="1">
      <alignment vertical="center" wrapText="1"/>
    </xf>
    <xf numFmtId="3" fontId="1" fillId="3" borderId="74" xfId="0" applyNumberFormat="1" applyFont="1" applyFill="1" applyBorder="1" applyAlignment="1">
      <alignment horizontal="right" vertical="center"/>
    </xf>
    <xf numFmtId="49" fontId="6" fillId="0" borderId="29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vertical="center" wrapText="1"/>
    </xf>
    <xf numFmtId="0" fontId="3" fillId="0" borderId="62" xfId="0" applyFont="1" applyBorder="1" applyAlignment="1">
      <alignment horizontal="right" vertical="center"/>
    </xf>
    <xf numFmtId="3" fontId="1" fillId="4" borderId="16" xfId="0" applyNumberFormat="1" applyFont="1" applyFill="1" applyBorder="1" applyAlignment="1">
      <alignment horizontal="right" vertical="center"/>
    </xf>
    <xf numFmtId="3" fontId="1" fillId="4" borderId="15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33" xfId="0" applyNumberFormat="1" applyFont="1" applyFill="1" applyBorder="1" applyAlignment="1">
      <alignment horizontal="right" vertical="center"/>
    </xf>
    <xf numFmtId="3" fontId="1" fillId="0" borderId="42" xfId="0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vertical="center" wrapText="1"/>
    </xf>
    <xf numFmtId="49" fontId="3" fillId="0" borderId="53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49" fontId="3" fillId="0" borderId="65" xfId="0" applyNumberFormat="1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right" vertical="center"/>
    </xf>
    <xf numFmtId="3" fontId="5" fillId="0" borderId="63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3" fontId="1" fillId="3" borderId="40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3" fontId="1" fillId="3" borderId="56" xfId="0" applyNumberFormat="1" applyFont="1" applyFill="1" applyBorder="1" applyAlignment="1">
      <alignment horizontal="right" vertical="center"/>
    </xf>
    <xf numFmtId="3" fontId="5" fillId="0" borderId="60" xfId="0" applyNumberFormat="1" applyFont="1" applyFill="1" applyBorder="1" applyAlignment="1">
      <alignment horizontal="right" vertical="center"/>
    </xf>
    <xf numFmtId="0" fontId="3" fillId="0" borderId="59" xfId="0" applyFont="1" applyFill="1" applyBorder="1" applyAlignment="1">
      <alignment vertical="center" wrapText="1"/>
    </xf>
    <xf numFmtId="49" fontId="5" fillId="0" borderId="35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1" fillId="2" borderId="88" xfId="0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2" fillId="2" borderId="88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3" fontId="1" fillId="0" borderId="36" xfId="0" applyNumberFormat="1" applyFont="1" applyFill="1" applyBorder="1" applyAlignment="1">
      <alignment horizontal="right" vertical="center" wrapText="1"/>
    </xf>
    <xf numFmtId="3" fontId="1" fillId="3" borderId="20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3" fontId="2" fillId="0" borderId="46" xfId="0" applyNumberFormat="1" applyFont="1" applyFill="1" applyBorder="1" applyAlignment="1">
      <alignment horizontal="right" vertical="center" wrapText="1"/>
    </xf>
    <xf numFmtId="3" fontId="1" fillId="4" borderId="19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64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0" borderId="4" xfId="0" applyBorder="1" applyAlignment="1">
      <alignment horizontal="center" vertical="center"/>
    </xf>
    <xf numFmtId="49" fontId="1" fillId="0" borderId="25" xfId="0" applyNumberFormat="1" applyFont="1" applyFill="1" applyBorder="1" applyAlignment="1">
      <alignment vertical="center"/>
    </xf>
    <xf numFmtId="0" fontId="0" fillId="0" borderId="25" xfId="0" applyBorder="1"/>
    <xf numFmtId="49" fontId="1" fillId="0" borderId="33" xfId="0" applyNumberFormat="1" applyFont="1" applyFill="1" applyBorder="1" applyAlignment="1">
      <alignment vertical="center"/>
    </xf>
    <xf numFmtId="0" fontId="0" fillId="0" borderId="33" xfId="0" applyBorder="1"/>
    <xf numFmtId="49" fontId="1" fillId="4" borderId="16" xfId="0" applyNumberFormat="1" applyFont="1" applyFill="1" applyBorder="1" applyAlignment="1">
      <alignment horizontal="left" vertical="center" wrapText="1"/>
    </xf>
    <xf numFmtId="0" fontId="0" fillId="4" borderId="16" xfId="0" applyFill="1" applyBorder="1"/>
    <xf numFmtId="0" fontId="1" fillId="0" borderId="16" xfId="0" applyFont="1" applyFill="1" applyBorder="1" applyAlignment="1">
      <alignment horizontal="left" vertical="center"/>
    </xf>
    <xf numFmtId="0" fontId="0" fillId="0" borderId="16" xfId="0" applyBorder="1"/>
    <xf numFmtId="0" fontId="1" fillId="3" borderId="16" xfId="0" applyFont="1" applyFill="1" applyBorder="1" applyAlignment="1">
      <alignment vertical="center"/>
    </xf>
    <xf numFmtId="0" fontId="0" fillId="3" borderId="16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1" xfId="0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49" fontId="1" fillId="0" borderId="25" xfId="0" applyNumberFormat="1" applyFont="1" applyFill="1" applyBorder="1" applyAlignment="1">
      <alignment vertical="center" wrapText="1"/>
    </xf>
    <xf numFmtId="49" fontId="1" fillId="0" borderId="35" xfId="0" applyNumberFormat="1" applyFont="1" applyFill="1" applyBorder="1" applyAlignment="1">
      <alignment vertical="center" wrapText="1"/>
    </xf>
    <xf numFmtId="0" fontId="0" fillId="0" borderId="35" xfId="0" applyBorder="1"/>
    <xf numFmtId="0" fontId="3" fillId="0" borderId="12" xfId="0" applyFont="1" applyFill="1" applyBorder="1" applyAlignment="1">
      <alignment horizontal="center" vertical="center"/>
    </xf>
    <xf numFmtId="0" fontId="0" fillId="0" borderId="9" xfId="0" applyBorder="1" applyAlignment="1"/>
    <xf numFmtId="0" fontId="0" fillId="0" borderId="14" xfId="0" applyBorder="1" applyAlignment="1"/>
    <xf numFmtId="0" fontId="1" fillId="0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4" xfId="0" applyBorder="1" applyAlignment="1">
      <alignment vertical="center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64" xfId="0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77" xfId="0" applyNumberFormat="1" applyFont="1" applyBorder="1" applyAlignment="1">
      <alignment horizontal="center" vertical="center" wrapText="1"/>
    </xf>
    <xf numFmtId="0" fontId="0" fillId="0" borderId="69" xfId="0" applyBorder="1" applyAlignment="1"/>
    <xf numFmtId="0" fontId="0" fillId="0" borderId="76" xfId="0" applyBorder="1" applyAlignment="1"/>
    <xf numFmtId="0" fontId="1" fillId="0" borderId="4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 wrapText="1"/>
    </xf>
    <xf numFmtId="0" fontId="0" fillId="0" borderId="69" xfId="0" applyBorder="1" applyAlignment="1">
      <alignment vertical="center"/>
    </xf>
    <xf numFmtId="0" fontId="0" fillId="0" borderId="76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9" xfId="0" applyFont="1" applyFill="1" applyBorder="1" applyAlignment="1"/>
    <xf numFmtId="0" fontId="9" fillId="0" borderId="14" xfId="0" applyFont="1" applyFill="1" applyBorder="1" applyAlignment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36" xfId="0" applyBorder="1"/>
    <xf numFmtId="0" fontId="0" fillId="0" borderId="10" xfId="0" applyBorder="1"/>
    <xf numFmtId="0" fontId="3" fillId="0" borderId="18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86" xfId="0" applyBorder="1" applyAlignment="1"/>
    <xf numFmtId="0" fontId="3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1" xfId="0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61" xfId="0" applyFill="1" applyBorder="1"/>
    <xf numFmtId="49" fontId="3" fillId="0" borderId="12" xfId="0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61" xfId="0" applyBorder="1"/>
    <xf numFmtId="49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" xfId="0" applyBorder="1"/>
    <xf numFmtId="0" fontId="0" fillId="0" borderId="14" xfId="0" applyBorder="1"/>
    <xf numFmtId="49" fontId="1" fillId="4" borderId="16" xfId="0" applyNumberFormat="1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9" xfId="0" applyFill="1" applyBorder="1" applyAlignment="1"/>
    <xf numFmtId="0" fontId="0" fillId="0" borderId="14" xfId="0" applyFill="1" applyBorder="1" applyAlignment="1"/>
    <xf numFmtId="49" fontId="3" fillId="0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"/>
  <sheetViews>
    <sheetView tabSelected="1" view="pageBreakPreview" topLeftCell="C1" zoomScale="75" zoomScaleNormal="100" zoomScaleSheetLayoutView="75" workbookViewId="0">
      <selection activeCell="J2" sqref="J2"/>
    </sheetView>
  </sheetViews>
  <sheetFormatPr defaultRowHeight="15" x14ac:dyDescent="0.25"/>
  <cols>
    <col min="1" max="1" width="4.7109375" bestFit="1" customWidth="1"/>
    <col min="2" max="2" width="78.5703125" customWidth="1"/>
    <col min="3" max="3" width="15.5703125" customWidth="1"/>
    <col min="4" max="4" width="30.85546875" customWidth="1"/>
    <col min="5" max="11" width="19.42578125" customWidth="1"/>
  </cols>
  <sheetData>
    <row r="1" spans="1:11" ht="15.75" x14ac:dyDescent="0.25">
      <c r="J1" s="318" t="s">
        <v>100</v>
      </c>
    </row>
    <row r="2" spans="1:11" ht="15.75" x14ac:dyDescent="0.25">
      <c r="J2" s="318" t="s">
        <v>97</v>
      </c>
    </row>
    <row r="3" spans="1:11" ht="15.75" x14ac:dyDescent="0.25">
      <c r="J3" s="318" t="s">
        <v>98</v>
      </c>
    </row>
    <row r="4" spans="1:11" ht="16.5" thickBot="1" x14ac:dyDescent="0.3">
      <c r="J4" s="318" t="s">
        <v>99</v>
      </c>
    </row>
    <row r="5" spans="1:11" ht="57" customHeight="1" thickBot="1" x14ac:dyDescent="0.3">
      <c r="A5" s="196" t="s">
        <v>0</v>
      </c>
      <c r="B5" s="198" t="s">
        <v>1</v>
      </c>
      <c r="C5" s="199" t="s">
        <v>2</v>
      </c>
      <c r="D5" s="199" t="s">
        <v>3</v>
      </c>
      <c r="E5" s="200" t="s">
        <v>4</v>
      </c>
      <c r="F5" s="213" t="s">
        <v>5</v>
      </c>
      <c r="G5" s="214"/>
      <c r="H5" s="214"/>
      <c r="I5" s="214"/>
      <c r="J5" s="214"/>
      <c r="K5" s="215"/>
    </row>
    <row r="6" spans="1:11" ht="15.75" customHeight="1" x14ac:dyDescent="0.25">
      <c r="A6" s="197"/>
      <c r="B6" s="197"/>
      <c r="C6" s="197"/>
      <c r="D6" s="197"/>
      <c r="E6" s="201"/>
      <c r="F6" s="198">
        <v>2011</v>
      </c>
      <c r="G6" s="198">
        <v>2012</v>
      </c>
      <c r="H6" s="198">
        <v>2013</v>
      </c>
      <c r="I6" s="198">
        <v>2014</v>
      </c>
      <c r="J6" s="198">
        <v>2015</v>
      </c>
      <c r="K6" s="198">
        <v>2016</v>
      </c>
    </row>
    <row r="7" spans="1:11" ht="33" customHeight="1" thickBot="1" x14ac:dyDescent="0.3">
      <c r="A7" s="197"/>
      <c r="B7" s="197"/>
      <c r="C7" s="197"/>
      <c r="D7" s="197"/>
      <c r="E7" s="201"/>
      <c r="F7" s="202"/>
      <c r="G7" s="216"/>
      <c r="H7" s="216"/>
      <c r="I7" s="216"/>
      <c r="J7" s="216"/>
      <c r="K7" s="216"/>
    </row>
    <row r="8" spans="1:11" ht="16.5" thickBot="1" x14ac:dyDescent="0.3">
      <c r="A8" s="181">
        <v>1</v>
      </c>
      <c r="B8" s="182">
        <v>2</v>
      </c>
      <c r="C8" s="183">
        <v>3</v>
      </c>
      <c r="D8" s="184">
        <v>4</v>
      </c>
      <c r="E8" s="185">
        <v>5</v>
      </c>
      <c r="F8" s="186">
        <v>6</v>
      </c>
      <c r="G8" s="182">
        <v>7</v>
      </c>
      <c r="H8" s="182">
        <v>8</v>
      </c>
      <c r="I8" s="182">
        <v>9</v>
      </c>
      <c r="J8" s="182">
        <v>10</v>
      </c>
      <c r="K8" s="182">
        <v>11</v>
      </c>
    </row>
    <row r="9" spans="1:11" ht="15.75" x14ac:dyDescent="0.25">
      <c r="A9" s="1"/>
      <c r="B9" s="209" t="s">
        <v>6</v>
      </c>
      <c r="C9" s="209"/>
      <c r="D9" s="210"/>
      <c r="E9" s="2">
        <f>E12</f>
        <v>64652168</v>
      </c>
      <c r="F9" s="3">
        <f>F10+F11</f>
        <v>13967754</v>
      </c>
      <c r="G9" s="187">
        <f t="shared" ref="G9:H11" si="0">G12</f>
        <v>14374864</v>
      </c>
      <c r="H9" s="4">
        <f>H12</f>
        <v>16944255</v>
      </c>
      <c r="I9" s="4">
        <f t="shared" ref="I9:K9" si="1">I12</f>
        <v>9068900</v>
      </c>
      <c r="J9" s="4">
        <f t="shared" si="1"/>
        <v>924900</v>
      </c>
      <c r="K9" s="4">
        <f t="shared" si="1"/>
        <v>940100</v>
      </c>
    </row>
    <row r="10" spans="1:11" ht="15.75" x14ac:dyDescent="0.25">
      <c r="A10" s="5"/>
      <c r="B10" s="203" t="s">
        <v>7</v>
      </c>
      <c r="C10" s="203"/>
      <c r="D10" s="204"/>
      <c r="E10" s="6">
        <f>E13</f>
        <v>15661597</v>
      </c>
      <c r="F10" s="7">
        <f>F13</f>
        <v>3595139</v>
      </c>
      <c r="G10" s="188">
        <f t="shared" si="0"/>
        <v>2113282</v>
      </c>
      <c r="H10" s="8">
        <f t="shared" si="0"/>
        <v>1572700</v>
      </c>
      <c r="I10" s="8">
        <f t="shared" ref="I10:K10" si="2">I13</f>
        <v>798900</v>
      </c>
      <c r="J10" s="8">
        <f t="shared" si="2"/>
        <v>924900</v>
      </c>
      <c r="K10" s="8">
        <f t="shared" si="2"/>
        <v>940100</v>
      </c>
    </row>
    <row r="11" spans="1:11" ht="16.5" customHeight="1" thickBot="1" x14ac:dyDescent="0.3">
      <c r="A11" s="9"/>
      <c r="B11" s="205" t="s">
        <v>8</v>
      </c>
      <c r="C11" s="205"/>
      <c r="D11" s="206"/>
      <c r="E11" s="10">
        <f>E14</f>
        <v>48990571</v>
      </c>
      <c r="F11" s="11">
        <f>F14</f>
        <v>10372615</v>
      </c>
      <c r="G11" s="189">
        <f t="shared" si="0"/>
        <v>12261582</v>
      </c>
      <c r="H11" s="12">
        <f t="shared" si="0"/>
        <v>15371555</v>
      </c>
      <c r="I11" s="12">
        <f t="shared" ref="I11:K11" si="3">I14</f>
        <v>8270000</v>
      </c>
      <c r="J11" s="12">
        <f t="shared" si="3"/>
        <v>0</v>
      </c>
      <c r="K11" s="12">
        <f t="shared" si="3"/>
        <v>0</v>
      </c>
    </row>
    <row r="12" spans="1:11" ht="19.5" customHeight="1" x14ac:dyDescent="0.25">
      <c r="A12" s="13" t="s">
        <v>9</v>
      </c>
      <c r="B12" s="211" t="s">
        <v>10</v>
      </c>
      <c r="C12" s="211"/>
      <c r="D12" s="212"/>
      <c r="E12" s="14">
        <f>E15+E87</f>
        <v>64652168</v>
      </c>
      <c r="F12" s="15">
        <f>F13+F14</f>
        <v>13967754</v>
      </c>
      <c r="G12" s="190">
        <f t="shared" ref="G12" si="4">G15+G87</f>
        <v>14374864</v>
      </c>
      <c r="H12" s="2">
        <f>H15+H87</f>
        <v>16944255</v>
      </c>
      <c r="I12" s="2">
        <f t="shared" ref="I12:K12" si="5">I15+I87</f>
        <v>9068900</v>
      </c>
      <c r="J12" s="2">
        <f t="shared" si="5"/>
        <v>924900</v>
      </c>
      <c r="K12" s="2">
        <f t="shared" si="5"/>
        <v>940100</v>
      </c>
    </row>
    <row r="13" spans="1:11" ht="16.5" customHeight="1" x14ac:dyDescent="0.25">
      <c r="A13" s="16"/>
      <c r="B13" s="203" t="s">
        <v>7</v>
      </c>
      <c r="C13" s="203"/>
      <c r="D13" s="204"/>
      <c r="E13" s="17">
        <f>E16+E88</f>
        <v>15661597</v>
      </c>
      <c r="F13" s="18">
        <f>F16+F88</f>
        <v>3595139</v>
      </c>
      <c r="G13" s="191">
        <f t="shared" ref="G13:K13" si="6">G16+G88</f>
        <v>2113282</v>
      </c>
      <c r="H13" s="19">
        <f t="shared" si="6"/>
        <v>1572700</v>
      </c>
      <c r="I13" s="19">
        <f t="shared" si="6"/>
        <v>798900</v>
      </c>
      <c r="J13" s="19">
        <f t="shared" si="6"/>
        <v>924900</v>
      </c>
      <c r="K13" s="19">
        <f t="shared" si="6"/>
        <v>940100</v>
      </c>
    </row>
    <row r="14" spans="1:11" ht="16.5" thickBot="1" x14ac:dyDescent="0.3">
      <c r="A14" s="20"/>
      <c r="B14" s="205" t="s">
        <v>8</v>
      </c>
      <c r="C14" s="205"/>
      <c r="D14" s="206"/>
      <c r="E14" s="21">
        <f>E17+E89</f>
        <v>48990571</v>
      </c>
      <c r="F14" s="22">
        <f>F17+F89</f>
        <v>10372615</v>
      </c>
      <c r="G14" s="192">
        <f t="shared" ref="G14:K14" si="7">G17+G89</f>
        <v>12261582</v>
      </c>
      <c r="H14" s="23">
        <f t="shared" si="7"/>
        <v>15371555</v>
      </c>
      <c r="I14" s="23">
        <f t="shared" si="7"/>
        <v>8270000</v>
      </c>
      <c r="J14" s="23">
        <f t="shared" si="7"/>
        <v>0</v>
      </c>
      <c r="K14" s="23">
        <f t="shared" si="7"/>
        <v>0</v>
      </c>
    </row>
    <row r="15" spans="1:11" ht="39.75" customHeight="1" x14ac:dyDescent="0.25">
      <c r="A15" s="24" t="s">
        <v>11</v>
      </c>
      <c r="B15" s="207" t="s">
        <v>12</v>
      </c>
      <c r="C15" s="207"/>
      <c r="D15" s="208"/>
      <c r="E15" s="25">
        <f>E18+E21+E24+E27+E30+E40+E43+E50+E57+E33+E60+E63+E66+E69+E78+E81+E84</f>
        <v>17284694</v>
      </c>
      <c r="F15" s="26">
        <f>F18+F21+F24+F27+F30+F40+F43+F50+F57+F60+F33+F63+F66+F69+F78+F81+F84</f>
        <v>7574078</v>
      </c>
      <c r="G15" s="193">
        <f t="shared" ref="G15:K15" si="8">G18+G21+G24+G27+G30+G40+G43+G50+G57+G60+G33+G63+G66+G69+G78+G81+G84</f>
        <v>3490675</v>
      </c>
      <c r="H15" s="27">
        <f t="shared" si="8"/>
        <v>771000</v>
      </c>
      <c r="I15" s="27">
        <f t="shared" si="8"/>
        <v>73000</v>
      </c>
      <c r="J15" s="27">
        <f t="shared" si="8"/>
        <v>38000</v>
      </c>
      <c r="K15" s="27">
        <f t="shared" si="8"/>
        <v>0</v>
      </c>
    </row>
    <row r="16" spans="1:11" ht="15.75" x14ac:dyDescent="0.25">
      <c r="A16" s="16"/>
      <c r="B16" s="226" t="s">
        <v>13</v>
      </c>
      <c r="C16" s="226"/>
      <c r="D16" s="204"/>
      <c r="E16" s="28">
        <f>E19+E22+E25+E28+E31+E34+E41+E44+E51+E58+E61+E64+E67+E70+E79+E82+E85</f>
        <v>8206923</v>
      </c>
      <c r="F16" s="29">
        <f>F19+F22+F25+F28+F31+F34+F41+F44+F51+F58+F61+F64+F67+F70+F79+F82+F85</f>
        <v>2682273</v>
      </c>
      <c r="G16" s="194">
        <f t="shared" ref="G16:K16" si="9">G19+G22+G25+G28+G31+G34+G41+G44+G51+G58+G61+G64+G67+G70+G79+G82+G85</f>
        <v>1566382</v>
      </c>
      <c r="H16" s="30">
        <f t="shared" si="9"/>
        <v>771000</v>
      </c>
      <c r="I16" s="30">
        <f t="shared" si="9"/>
        <v>73000</v>
      </c>
      <c r="J16" s="30">
        <f t="shared" si="9"/>
        <v>38000</v>
      </c>
      <c r="K16" s="30">
        <f t="shared" si="9"/>
        <v>0</v>
      </c>
    </row>
    <row r="17" spans="1:11" ht="16.5" thickBot="1" x14ac:dyDescent="0.3">
      <c r="A17" s="20"/>
      <c r="B17" s="227" t="s">
        <v>14</v>
      </c>
      <c r="C17" s="227"/>
      <c r="D17" s="228"/>
      <c r="E17" s="31">
        <f>E20+E23+E26+E29+E32+E35+E42+E45+E52+E59+E62+E65+E68+E71+E80+E83+E86</f>
        <v>9077771</v>
      </c>
      <c r="F17" s="32">
        <f>F20+F23+F26+F29+F32+F35+F42+F45+F52+F59+F62+F65+F68+F71+F80+F83+F86</f>
        <v>4891805</v>
      </c>
      <c r="G17" s="195">
        <f t="shared" ref="G17:K17" si="10">G20+G23+G26+G29+G32+G35+G42+G45+G52+G59+G62+G65+G68+G71+G80+G83+G86</f>
        <v>1924293</v>
      </c>
      <c r="H17" s="33">
        <f t="shared" si="10"/>
        <v>0</v>
      </c>
      <c r="I17" s="33">
        <f t="shared" si="10"/>
        <v>0</v>
      </c>
      <c r="J17" s="33">
        <f t="shared" si="10"/>
        <v>0</v>
      </c>
      <c r="K17" s="33">
        <f t="shared" si="10"/>
        <v>0</v>
      </c>
    </row>
    <row r="18" spans="1:11" ht="60.75" x14ac:dyDescent="0.25">
      <c r="A18" s="217">
        <v>1</v>
      </c>
      <c r="B18" s="34" t="s">
        <v>15</v>
      </c>
      <c r="C18" s="229" t="s">
        <v>16</v>
      </c>
      <c r="D18" s="223" t="s">
        <v>17</v>
      </c>
      <c r="E18" s="35">
        <f>4341861-1671863</f>
        <v>2669998</v>
      </c>
      <c r="F18" s="36">
        <v>1000000</v>
      </c>
      <c r="G18" s="38">
        <f>3086861-1671863</f>
        <v>1414998</v>
      </c>
      <c r="H18" s="38"/>
      <c r="I18" s="38"/>
      <c r="J18" s="39"/>
      <c r="K18" s="40"/>
    </row>
    <row r="19" spans="1:11" ht="15.75" x14ac:dyDescent="0.25">
      <c r="A19" s="218"/>
      <c r="B19" s="41" t="s">
        <v>7</v>
      </c>
      <c r="C19" s="221"/>
      <c r="D19" s="230"/>
      <c r="E19" s="17">
        <f>0</f>
        <v>0</v>
      </c>
      <c r="F19" s="42"/>
      <c r="G19" s="44"/>
      <c r="H19" s="44"/>
      <c r="I19" s="44"/>
      <c r="J19" s="45"/>
      <c r="K19" s="44"/>
    </row>
    <row r="20" spans="1:11" ht="16.5" thickBot="1" x14ac:dyDescent="0.3">
      <c r="A20" s="219"/>
      <c r="B20" s="46" t="s">
        <v>8</v>
      </c>
      <c r="C20" s="222"/>
      <c r="D20" s="231"/>
      <c r="E20" s="47">
        <f>4341861-1671863</f>
        <v>2669998</v>
      </c>
      <c r="F20" s="48">
        <f>1000000</f>
        <v>1000000</v>
      </c>
      <c r="G20" s="50">
        <f>3086861-1671863</f>
        <v>1414998</v>
      </c>
      <c r="H20" s="50"/>
      <c r="I20" s="50"/>
      <c r="J20" s="51"/>
      <c r="K20" s="50"/>
    </row>
    <row r="21" spans="1:11" ht="45.75" x14ac:dyDescent="0.25">
      <c r="A21" s="217">
        <v>2</v>
      </c>
      <c r="B21" s="52" t="s">
        <v>18</v>
      </c>
      <c r="C21" s="220" t="s">
        <v>19</v>
      </c>
      <c r="D21" s="223" t="s">
        <v>20</v>
      </c>
      <c r="E21" s="14">
        <f>474521</f>
        <v>474521</v>
      </c>
      <c r="F21" s="53">
        <v>67000</v>
      </c>
      <c r="G21" s="54">
        <v>69000</v>
      </c>
      <c r="H21" s="54">
        <v>71000</v>
      </c>
      <c r="I21" s="54">
        <v>73000</v>
      </c>
      <c r="J21" s="55">
        <v>38000</v>
      </c>
      <c r="K21" s="54"/>
    </row>
    <row r="22" spans="1:11" ht="15.75" x14ac:dyDescent="0.25">
      <c r="A22" s="218"/>
      <c r="B22" s="56" t="s">
        <v>7</v>
      </c>
      <c r="C22" s="221"/>
      <c r="D22" s="224"/>
      <c r="E22" s="17">
        <f>416775</f>
        <v>416775</v>
      </c>
      <c r="F22" s="57">
        <v>67000</v>
      </c>
      <c r="G22" s="44">
        <v>69000</v>
      </c>
      <c r="H22" s="44">
        <v>71000</v>
      </c>
      <c r="I22" s="44">
        <v>73000</v>
      </c>
      <c r="J22" s="45">
        <v>38000</v>
      </c>
      <c r="K22" s="44"/>
    </row>
    <row r="23" spans="1:11" ht="16.5" thickBot="1" x14ac:dyDescent="0.3">
      <c r="A23" s="219"/>
      <c r="B23" s="58" t="s">
        <v>8</v>
      </c>
      <c r="C23" s="222"/>
      <c r="D23" s="225"/>
      <c r="E23" s="47">
        <f>57746</f>
        <v>57746</v>
      </c>
      <c r="F23" s="59"/>
      <c r="G23" s="50"/>
      <c r="H23" s="50"/>
      <c r="I23" s="50"/>
      <c r="J23" s="51"/>
      <c r="K23" s="50"/>
    </row>
    <row r="24" spans="1:11" ht="45.75" customHeight="1" x14ac:dyDescent="0.25">
      <c r="A24" s="217">
        <v>3</v>
      </c>
      <c r="B24" s="34" t="s">
        <v>21</v>
      </c>
      <c r="C24" s="220" t="s">
        <v>22</v>
      </c>
      <c r="D24" s="244" t="s">
        <v>23</v>
      </c>
      <c r="E24" s="14">
        <f>904298+38076</f>
        <v>942374</v>
      </c>
      <c r="F24" s="53">
        <f>145675+50660</f>
        <v>196335</v>
      </c>
      <c r="G24" s="54">
        <f>658022-37918</f>
        <v>620104</v>
      </c>
      <c r="H24" s="54"/>
      <c r="I24" s="54"/>
      <c r="J24" s="55"/>
      <c r="K24" s="54"/>
    </row>
    <row r="25" spans="1:11" ht="15.75" x14ac:dyDescent="0.25">
      <c r="A25" s="218"/>
      <c r="B25" s="56" t="s">
        <v>7</v>
      </c>
      <c r="C25" s="221"/>
      <c r="D25" s="224"/>
      <c r="E25" s="17">
        <f>193566-54529</f>
        <v>139037</v>
      </c>
      <c r="F25" s="60">
        <f>26568+1660</f>
        <v>28228</v>
      </c>
      <c r="G25" s="62">
        <f>151696-40887</f>
        <v>110809</v>
      </c>
      <c r="H25" s="62"/>
      <c r="I25" s="62"/>
      <c r="J25" s="63"/>
      <c r="K25" s="62"/>
    </row>
    <row r="26" spans="1:11" ht="16.5" thickBot="1" x14ac:dyDescent="0.3">
      <c r="A26" s="219"/>
      <c r="B26" s="64" t="s">
        <v>8</v>
      </c>
      <c r="C26" s="222"/>
      <c r="D26" s="225"/>
      <c r="E26" s="47">
        <f>710732+92605</f>
        <v>803337</v>
      </c>
      <c r="F26" s="65">
        <f>119107+49000</f>
        <v>168107</v>
      </c>
      <c r="G26" s="67">
        <f>506326+2969</f>
        <v>509295</v>
      </c>
      <c r="H26" s="67"/>
      <c r="I26" s="67"/>
      <c r="J26" s="68"/>
      <c r="K26" s="67"/>
    </row>
    <row r="27" spans="1:11" ht="60.75" customHeight="1" x14ac:dyDescent="0.25">
      <c r="A27" s="241">
        <v>4</v>
      </c>
      <c r="B27" s="69" t="s">
        <v>24</v>
      </c>
      <c r="C27" s="243" t="s">
        <v>25</v>
      </c>
      <c r="D27" s="244" t="s">
        <v>26</v>
      </c>
      <c r="E27" s="14">
        <f>1336480-12119</f>
        <v>1324361</v>
      </c>
      <c r="F27" s="53">
        <f>F28+F29</f>
        <v>439961</v>
      </c>
      <c r="G27" s="54"/>
      <c r="H27" s="54"/>
      <c r="I27" s="54"/>
      <c r="J27" s="55"/>
      <c r="K27" s="54"/>
    </row>
    <row r="28" spans="1:11" ht="15.75" x14ac:dyDescent="0.25">
      <c r="A28" s="242"/>
      <c r="B28" s="41" t="s">
        <v>7</v>
      </c>
      <c r="C28" s="221"/>
      <c r="D28" s="230"/>
      <c r="E28" s="17">
        <f>1336480-12119</f>
        <v>1324361</v>
      </c>
      <c r="F28" s="60">
        <f>308385+131576</f>
        <v>439961</v>
      </c>
      <c r="G28" s="62"/>
      <c r="H28" s="62"/>
      <c r="I28" s="62"/>
      <c r="J28" s="63"/>
      <c r="K28" s="62"/>
    </row>
    <row r="29" spans="1:11" ht="16.5" thickBot="1" x14ac:dyDescent="0.3">
      <c r="A29" s="242"/>
      <c r="B29" s="70" t="s">
        <v>8</v>
      </c>
      <c r="C29" s="221"/>
      <c r="D29" s="230"/>
      <c r="E29" s="21">
        <f>0</f>
        <v>0</v>
      </c>
      <c r="F29" s="71"/>
      <c r="G29" s="72"/>
      <c r="H29" s="72"/>
      <c r="I29" s="72"/>
      <c r="J29" s="73"/>
      <c r="K29" s="72"/>
    </row>
    <row r="30" spans="1:11" ht="75.75" x14ac:dyDescent="0.25">
      <c r="A30" s="232">
        <v>5</v>
      </c>
      <c r="B30" s="74" t="s">
        <v>27</v>
      </c>
      <c r="C30" s="235" t="s">
        <v>16</v>
      </c>
      <c r="D30" s="238" t="s">
        <v>28</v>
      </c>
      <c r="E30" s="14">
        <f>48750</f>
        <v>48750</v>
      </c>
      <c r="F30" s="75">
        <v>21552</v>
      </c>
      <c r="G30" s="77">
        <v>12554</v>
      </c>
      <c r="H30" s="77"/>
      <c r="I30" s="77"/>
      <c r="J30" s="77"/>
      <c r="K30" s="77"/>
    </row>
    <row r="31" spans="1:11" ht="15.75" x14ac:dyDescent="0.25">
      <c r="A31" s="233"/>
      <c r="B31" s="78" t="s">
        <v>7</v>
      </c>
      <c r="C31" s="236"/>
      <c r="D31" s="239"/>
      <c r="E31" s="17">
        <f>48750</f>
        <v>48750</v>
      </c>
      <c r="F31" s="79">
        <v>21552</v>
      </c>
      <c r="G31" s="62">
        <v>12554</v>
      </c>
      <c r="H31" s="62"/>
      <c r="I31" s="62"/>
      <c r="J31" s="62"/>
      <c r="K31" s="62"/>
    </row>
    <row r="32" spans="1:11" ht="16.5" thickBot="1" x14ac:dyDescent="0.3">
      <c r="A32" s="234"/>
      <c r="B32" s="80" t="s">
        <v>8</v>
      </c>
      <c r="C32" s="237"/>
      <c r="D32" s="240"/>
      <c r="E32" s="47">
        <f>0</f>
        <v>0</v>
      </c>
      <c r="F32" s="81"/>
      <c r="G32" s="67"/>
      <c r="H32" s="67"/>
      <c r="I32" s="67"/>
      <c r="J32" s="67"/>
      <c r="K32" s="67"/>
    </row>
    <row r="33" spans="1:11" ht="45.75" customHeight="1" x14ac:dyDescent="0.25">
      <c r="A33" s="248">
        <v>6</v>
      </c>
      <c r="B33" s="82" t="s">
        <v>29</v>
      </c>
      <c r="C33" s="250" t="s">
        <v>30</v>
      </c>
      <c r="D33" s="251" t="s">
        <v>31</v>
      </c>
      <c r="E33" s="35">
        <f>E34+E35</f>
        <v>302000</v>
      </c>
      <c r="F33" s="83">
        <f>F34+F35</f>
        <v>154432</v>
      </c>
      <c r="G33" s="84">
        <f>G34+G35</f>
        <v>44393</v>
      </c>
      <c r="H33" s="84"/>
      <c r="I33" s="85"/>
      <c r="J33" s="84"/>
      <c r="K33" s="84"/>
    </row>
    <row r="34" spans="1:11" ht="15.75" x14ac:dyDescent="0.25">
      <c r="A34" s="248"/>
      <c r="B34" s="78" t="s">
        <v>32</v>
      </c>
      <c r="C34" s="250"/>
      <c r="D34" s="251"/>
      <c r="E34" s="35">
        <f>E36+E38</f>
        <v>302000</v>
      </c>
      <c r="F34" s="57">
        <f>F36+F38</f>
        <v>154432</v>
      </c>
      <c r="G34" s="44">
        <f>G36+G38</f>
        <v>44393</v>
      </c>
      <c r="H34" s="44"/>
      <c r="I34" s="45"/>
      <c r="J34" s="44"/>
      <c r="K34" s="44"/>
    </row>
    <row r="35" spans="1:11" ht="15.75" x14ac:dyDescent="0.25">
      <c r="A35" s="248"/>
      <c r="B35" s="86" t="s">
        <v>33</v>
      </c>
      <c r="C35" s="250"/>
      <c r="D35" s="251"/>
      <c r="E35" s="87">
        <f>E37+E39</f>
        <v>0</v>
      </c>
      <c r="F35" s="88"/>
      <c r="G35" s="89"/>
      <c r="H35" s="89"/>
      <c r="I35" s="90"/>
      <c r="J35" s="89"/>
      <c r="K35" s="89"/>
    </row>
    <row r="36" spans="1:11" ht="15.75" customHeight="1" x14ac:dyDescent="0.25">
      <c r="A36" s="248"/>
      <c r="B36" s="91" t="s">
        <v>7</v>
      </c>
      <c r="C36" s="250"/>
      <c r="D36" s="251"/>
      <c r="E36" s="35">
        <f>6600</f>
        <v>6600</v>
      </c>
      <c r="F36" s="37">
        <f>3600</f>
        <v>3600</v>
      </c>
      <c r="G36" s="38">
        <f>3000</f>
        <v>3000</v>
      </c>
      <c r="H36" s="38"/>
      <c r="I36" s="92"/>
      <c r="J36" s="38"/>
      <c r="K36" s="38"/>
    </row>
    <row r="37" spans="1:11" ht="15.75" x14ac:dyDescent="0.25">
      <c r="A37" s="248"/>
      <c r="B37" s="93" t="s">
        <v>8</v>
      </c>
      <c r="C37" s="250"/>
      <c r="D37" s="251"/>
      <c r="E37" s="35">
        <v>0</v>
      </c>
      <c r="F37" s="57"/>
      <c r="G37" s="44"/>
      <c r="H37" s="44"/>
      <c r="I37" s="45"/>
      <c r="J37" s="44"/>
      <c r="K37" s="44"/>
    </row>
    <row r="38" spans="1:11" ht="15.75" x14ac:dyDescent="0.25">
      <c r="A38" s="242"/>
      <c r="B38" s="93" t="s">
        <v>7</v>
      </c>
      <c r="C38" s="221"/>
      <c r="D38" s="252"/>
      <c r="E38" s="17">
        <v>295400</v>
      </c>
      <c r="F38" s="57">
        <f>150832</f>
        <v>150832</v>
      </c>
      <c r="G38" s="44">
        <f>41393</f>
        <v>41393</v>
      </c>
      <c r="H38" s="44"/>
      <c r="I38" s="45"/>
      <c r="J38" s="44"/>
      <c r="K38" s="44"/>
    </row>
    <row r="39" spans="1:11" ht="16.5" customHeight="1" thickBot="1" x14ac:dyDescent="0.3">
      <c r="A39" s="249"/>
      <c r="B39" s="94" t="s">
        <v>8</v>
      </c>
      <c r="C39" s="222"/>
      <c r="D39" s="253"/>
      <c r="E39" s="47">
        <v>0</v>
      </c>
      <c r="F39" s="59"/>
      <c r="G39" s="50"/>
      <c r="H39" s="50"/>
      <c r="I39" s="51"/>
      <c r="J39" s="50"/>
      <c r="K39" s="50"/>
    </row>
    <row r="40" spans="1:11" ht="30.75" x14ac:dyDescent="0.25">
      <c r="A40" s="95">
        <v>7</v>
      </c>
      <c r="B40" s="96" t="s">
        <v>34</v>
      </c>
      <c r="C40" s="243" t="s">
        <v>35</v>
      </c>
      <c r="D40" s="245" t="s">
        <v>36</v>
      </c>
      <c r="E40" s="14">
        <f>345550</f>
        <v>345550</v>
      </c>
      <c r="F40" s="97">
        <f>F41+F42</f>
        <v>177774</v>
      </c>
      <c r="G40" s="98"/>
      <c r="H40" s="98"/>
      <c r="I40" s="99"/>
      <c r="J40" s="100"/>
      <c r="K40" s="100"/>
    </row>
    <row r="41" spans="1:11" ht="15.75" x14ac:dyDescent="0.25">
      <c r="A41" s="101"/>
      <c r="B41" s="41" t="s">
        <v>7</v>
      </c>
      <c r="C41" s="221"/>
      <c r="D41" s="246"/>
      <c r="E41" s="17">
        <f>345550</f>
        <v>345550</v>
      </c>
      <c r="F41" s="60">
        <v>177774</v>
      </c>
      <c r="G41" s="62"/>
      <c r="H41" s="62"/>
      <c r="I41" s="63"/>
      <c r="J41" s="62"/>
      <c r="K41" s="62"/>
    </row>
    <row r="42" spans="1:11" ht="16.5" customHeight="1" thickBot="1" x14ac:dyDescent="0.3">
      <c r="A42" s="102"/>
      <c r="B42" s="103" t="s">
        <v>8</v>
      </c>
      <c r="C42" s="222"/>
      <c r="D42" s="247"/>
      <c r="E42" s="47">
        <f>0</f>
        <v>0</v>
      </c>
      <c r="F42" s="104"/>
      <c r="G42" s="67"/>
      <c r="H42" s="67"/>
      <c r="I42" s="68"/>
      <c r="J42" s="67"/>
      <c r="K42" s="67"/>
    </row>
    <row r="43" spans="1:11" ht="30.75" x14ac:dyDescent="0.25">
      <c r="A43" s="241">
        <v>8</v>
      </c>
      <c r="B43" s="105" t="s">
        <v>37</v>
      </c>
      <c r="C43" s="258" t="s">
        <v>38</v>
      </c>
      <c r="D43" s="262" t="s">
        <v>31</v>
      </c>
      <c r="E43" s="14">
        <f>182388</f>
        <v>182388</v>
      </c>
      <c r="F43" s="75">
        <f>F44+F45</f>
        <v>82808</v>
      </c>
      <c r="G43" s="77">
        <f>G44+G45</f>
        <v>99580</v>
      </c>
      <c r="H43" s="77"/>
      <c r="I43" s="77"/>
      <c r="J43" s="106"/>
      <c r="K43" s="107"/>
    </row>
    <row r="44" spans="1:11" ht="15.75" x14ac:dyDescent="0.25">
      <c r="A44" s="248"/>
      <c r="B44" s="56" t="s">
        <v>32</v>
      </c>
      <c r="C44" s="259"/>
      <c r="D44" s="263"/>
      <c r="E44" s="17">
        <f>182388</f>
        <v>182388</v>
      </c>
      <c r="F44" s="108">
        <f>F46+F48</f>
        <v>82808</v>
      </c>
      <c r="G44" s="44">
        <f>G46+G48</f>
        <v>99580</v>
      </c>
      <c r="H44" s="44"/>
      <c r="I44" s="44"/>
      <c r="J44" s="109"/>
      <c r="K44" s="110"/>
    </row>
    <row r="45" spans="1:11" ht="15.75" x14ac:dyDescent="0.25">
      <c r="A45" s="248"/>
      <c r="B45" s="111" t="s">
        <v>33</v>
      </c>
      <c r="C45" s="259"/>
      <c r="D45" s="263"/>
      <c r="E45" s="17">
        <f>0</f>
        <v>0</v>
      </c>
      <c r="F45" s="108"/>
      <c r="G45" s="44"/>
      <c r="H45" s="44"/>
      <c r="I45" s="44"/>
      <c r="J45" s="109"/>
      <c r="K45" s="110"/>
    </row>
    <row r="46" spans="1:11" ht="15.75" customHeight="1" x14ac:dyDescent="0.25">
      <c r="A46" s="248"/>
      <c r="B46" s="112" t="s">
        <v>7</v>
      </c>
      <c r="C46" s="259"/>
      <c r="D46" s="263"/>
      <c r="E46" s="17">
        <f>24889</f>
        <v>24889</v>
      </c>
      <c r="F46" s="108">
        <v>19149</v>
      </c>
      <c r="G46" s="44">
        <v>5740</v>
      </c>
      <c r="H46" s="44"/>
      <c r="I46" s="44"/>
      <c r="J46" s="109"/>
      <c r="K46" s="110"/>
    </row>
    <row r="47" spans="1:11" ht="15.75" x14ac:dyDescent="0.25">
      <c r="A47" s="248"/>
      <c r="B47" s="113" t="s">
        <v>8</v>
      </c>
      <c r="C47" s="259"/>
      <c r="D47" s="263"/>
      <c r="E47" s="17">
        <f>0</f>
        <v>0</v>
      </c>
      <c r="F47" s="108"/>
      <c r="G47" s="44"/>
      <c r="H47" s="44"/>
      <c r="I47" s="44"/>
      <c r="J47" s="109"/>
      <c r="K47" s="110"/>
    </row>
    <row r="48" spans="1:11" ht="15.75" x14ac:dyDescent="0.25">
      <c r="A48" s="248"/>
      <c r="B48" s="113" t="s">
        <v>7</v>
      </c>
      <c r="C48" s="260"/>
      <c r="D48" s="264"/>
      <c r="E48" s="17">
        <f>157499</f>
        <v>157499</v>
      </c>
      <c r="F48" s="108">
        <v>63659</v>
      </c>
      <c r="G48" s="44">
        <v>93840</v>
      </c>
      <c r="H48" s="44"/>
      <c r="I48" s="44"/>
      <c r="J48" s="109"/>
      <c r="K48" s="110"/>
    </row>
    <row r="49" spans="1:11" ht="16.5" customHeight="1" thickBot="1" x14ac:dyDescent="0.3">
      <c r="A49" s="254"/>
      <c r="B49" s="114" t="s">
        <v>8</v>
      </c>
      <c r="C49" s="261"/>
      <c r="D49" s="265"/>
      <c r="E49" s="47">
        <f>0</f>
        <v>0</v>
      </c>
      <c r="F49" s="115"/>
      <c r="G49" s="50"/>
      <c r="H49" s="50"/>
      <c r="I49" s="50"/>
      <c r="J49" s="116"/>
      <c r="K49" s="117"/>
    </row>
    <row r="50" spans="1:11" ht="31.5" x14ac:dyDescent="0.25">
      <c r="A50" s="241">
        <v>9</v>
      </c>
      <c r="B50" s="34" t="s">
        <v>39</v>
      </c>
      <c r="C50" s="220" t="s">
        <v>35</v>
      </c>
      <c r="D50" s="244" t="s">
        <v>40</v>
      </c>
      <c r="E50" s="118">
        <f>320000</f>
        <v>320000</v>
      </c>
      <c r="F50" s="119">
        <v>310000</v>
      </c>
      <c r="G50" s="120"/>
      <c r="H50" s="120"/>
      <c r="I50" s="121"/>
      <c r="J50" s="120"/>
      <c r="K50" s="40"/>
    </row>
    <row r="51" spans="1:11" ht="15.75" x14ac:dyDescent="0.25">
      <c r="A51" s="248"/>
      <c r="B51" s="56" t="s">
        <v>32</v>
      </c>
      <c r="C51" s="250"/>
      <c r="D51" s="256"/>
      <c r="E51" s="122">
        <f>20000</f>
        <v>20000</v>
      </c>
      <c r="F51" s="123">
        <f>10000</f>
        <v>10000</v>
      </c>
      <c r="G51" s="124"/>
      <c r="H51" s="124"/>
      <c r="I51" s="125"/>
      <c r="J51" s="124"/>
      <c r="K51" s="124"/>
    </row>
    <row r="52" spans="1:11" ht="15.75" x14ac:dyDescent="0.25">
      <c r="A52" s="248"/>
      <c r="B52" s="126" t="s">
        <v>33</v>
      </c>
      <c r="C52" s="250"/>
      <c r="D52" s="256"/>
      <c r="E52" s="127">
        <f>300000</f>
        <v>300000</v>
      </c>
      <c r="F52" s="128">
        <f>300000</f>
        <v>300000</v>
      </c>
      <c r="G52" s="129"/>
      <c r="H52" s="129"/>
      <c r="I52" s="130"/>
      <c r="J52" s="129"/>
      <c r="K52" s="129"/>
    </row>
    <row r="53" spans="1:11" ht="15.75" x14ac:dyDescent="0.25">
      <c r="A53" s="248"/>
      <c r="B53" s="131" t="s">
        <v>7</v>
      </c>
      <c r="C53" s="250"/>
      <c r="D53" s="256"/>
      <c r="E53" s="35">
        <v>10000</v>
      </c>
      <c r="F53" s="132">
        <v>5000</v>
      </c>
      <c r="G53" s="38"/>
      <c r="H53" s="38"/>
      <c r="I53" s="92"/>
      <c r="J53" s="38"/>
      <c r="K53" s="38"/>
    </row>
    <row r="54" spans="1:11" ht="15.75" x14ac:dyDescent="0.25">
      <c r="A54" s="248"/>
      <c r="B54" s="133" t="s">
        <v>8</v>
      </c>
      <c r="C54" s="250"/>
      <c r="D54" s="256"/>
      <c r="E54" s="17">
        <v>150000</v>
      </c>
      <c r="F54" s="134">
        <v>150000</v>
      </c>
      <c r="G54" s="44"/>
      <c r="H54" s="44"/>
      <c r="I54" s="45"/>
      <c r="J54" s="44"/>
      <c r="K54" s="44"/>
    </row>
    <row r="55" spans="1:11" ht="15.75" x14ac:dyDescent="0.25">
      <c r="A55" s="248"/>
      <c r="B55" s="133" t="s">
        <v>7</v>
      </c>
      <c r="C55" s="250"/>
      <c r="D55" s="256"/>
      <c r="E55" s="17">
        <v>10000</v>
      </c>
      <c r="F55" s="134">
        <v>5000</v>
      </c>
      <c r="G55" s="44"/>
      <c r="H55" s="44"/>
      <c r="I55" s="45"/>
      <c r="J55" s="44"/>
      <c r="K55" s="44"/>
    </row>
    <row r="56" spans="1:11" ht="16.5" customHeight="1" thickBot="1" x14ac:dyDescent="0.3">
      <c r="A56" s="254"/>
      <c r="B56" s="135" t="s">
        <v>8</v>
      </c>
      <c r="C56" s="255"/>
      <c r="D56" s="257"/>
      <c r="E56" s="21">
        <v>150000</v>
      </c>
      <c r="F56" s="136">
        <v>150000</v>
      </c>
      <c r="G56" s="50"/>
      <c r="H56" s="50"/>
      <c r="I56" s="51"/>
      <c r="J56" s="50"/>
      <c r="K56" s="50"/>
    </row>
    <row r="57" spans="1:11" ht="30.75" x14ac:dyDescent="0.25">
      <c r="A57" s="241">
        <v>10</v>
      </c>
      <c r="B57" s="52" t="s">
        <v>41</v>
      </c>
      <c r="C57" s="229" t="s">
        <v>35</v>
      </c>
      <c r="D57" s="277" t="s">
        <v>42</v>
      </c>
      <c r="E57" s="14">
        <f>729936</f>
        <v>729936</v>
      </c>
      <c r="F57" s="119">
        <v>391845</v>
      </c>
      <c r="G57" s="40"/>
      <c r="H57" s="40"/>
      <c r="I57" s="40"/>
      <c r="J57" s="39"/>
      <c r="K57" s="40"/>
    </row>
    <row r="58" spans="1:11" ht="15.75" x14ac:dyDescent="0.25">
      <c r="A58" s="242"/>
      <c r="B58" s="41" t="s">
        <v>7</v>
      </c>
      <c r="C58" s="266"/>
      <c r="D58" s="278"/>
      <c r="E58" s="17">
        <f>695236</f>
        <v>695236</v>
      </c>
      <c r="F58" s="134">
        <v>391845</v>
      </c>
      <c r="G58" s="44"/>
      <c r="H58" s="44"/>
      <c r="I58" s="44"/>
      <c r="J58" s="45"/>
      <c r="K58" s="44"/>
    </row>
    <row r="59" spans="1:11" ht="16.5" thickBot="1" x14ac:dyDescent="0.3">
      <c r="A59" s="242"/>
      <c r="B59" s="137" t="s">
        <v>8</v>
      </c>
      <c r="C59" s="266"/>
      <c r="D59" s="278"/>
      <c r="E59" s="47">
        <f>34700</f>
        <v>34700</v>
      </c>
      <c r="F59" s="138"/>
      <c r="G59" s="139"/>
      <c r="H59" s="139"/>
      <c r="I59" s="139"/>
      <c r="J59" s="140"/>
      <c r="K59" s="139"/>
    </row>
    <row r="60" spans="1:11" ht="33" customHeight="1" x14ac:dyDescent="0.25">
      <c r="A60" s="270">
        <v>11</v>
      </c>
      <c r="B60" s="52" t="s">
        <v>43</v>
      </c>
      <c r="C60" s="273" t="s">
        <v>38</v>
      </c>
      <c r="D60" s="275" t="s">
        <v>44</v>
      </c>
      <c r="E60" s="35">
        <f>697520</f>
        <v>697520</v>
      </c>
      <c r="F60" s="141">
        <v>202040</v>
      </c>
      <c r="G60" s="77">
        <f>495480</f>
        <v>495480</v>
      </c>
      <c r="H60" s="77"/>
      <c r="I60" s="77"/>
      <c r="J60" s="77"/>
      <c r="K60" s="77"/>
    </row>
    <row r="61" spans="1:11" ht="15.75" x14ac:dyDescent="0.25">
      <c r="A61" s="271"/>
      <c r="B61" s="41" t="s">
        <v>7</v>
      </c>
      <c r="C61" s="274"/>
      <c r="D61" s="276"/>
      <c r="E61" s="17">
        <v>686520</v>
      </c>
      <c r="F61" s="142">
        <v>191040</v>
      </c>
      <c r="G61" s="44">
        <f>495480</f>
        <v>495480</v>
      </c>
      <c r="H61" s="44"/>
      <c r="I61" s="44"/>
      <c r="J61" s="44"/>
      <c r="K61" s="44"/>
    </row>
    <row r="62" spans="1:11" ht="16.5" thickBot="1" x14ac:dyDescent="0.3">
      <c r="A62" s="272"/>
      <c r="B62" s="137" t="s">
        <v>8</v>
      </c>
      <c r="C62" s="274"/>
      <c r="D62" s="276"/>
      <c r="E62" s="47">
        <v>11000</v>
      </c>
      <c r="F62" s="143">
        <v>11000</v>
      </c>
      <c r="G62" s="50"/>
      <c r="H62" s="50"/>
      <c r="I62" s="50"/>
      <c r="J62" s="50"/>
      <c r="K62" s="50"/>
    </row>
    <row r="63" spans="1:11" ht="41.25" customHeight="1" x14ac:dyDescent="0.25">
      <c r="A63" s="248">
        <v>12</v>
      </c>
      <c r="B63" s="52" t="s">
        <v>45</v>
      </c>
      <c r="C63" s="229" t="s">
        <v>35</v>
      </c>
      <c r="D63" s="223" t="s">
        <v>46</v>
      </c>
      <c r="E63" s="35">
        <f>270599</f>
        <v>270599</v>
      </c>
      <c r="F63" s="83">
        <f>27217+115163</f>
        <v>142380</v>
      </c>
      <c r="G63" s="84"/>
      <c r="H63" s="84"/>
      <c r="I63" s="84"/>
      <c r="J63" s="85"/>
      <c r="K63" s="84"/>
    </row>
    <row r="64" spans="1:11" ht="15.75" x14ac:dyDescent="0.25">
      <c r="A64" s="242"/>
      <c r="B64" s="41" t="s">
        <v>7</v>
      </c>
      <c r="C64" s="266"/>
      <c r="D64" s="268"/>
      <c r="E64" s="17">
        <f>270599</f>
        <v>270599</v>
      </c>
      <c r="F64" s="57">
        <f>27217+115163</f>
        <v>142380</v>
      </c>
      <c r="G64" s="44"/>
      <c r="H64" s="44"/>
      <c r="I64" s="44"/>
      <c r="J64" s="45"/>
      <c r="K64" s="44"/>
    </row>
    <row r="65" spans="1:11" ht="16.5" thickBot="1" x14ac:dyDescent="0.3">
      <c r="A65" s="249"/>
      <c r="B65" s="46" t="s">
        <v>8</v>
      </c>
      <c r="C65" s="267"/>
      <c r="D65" s="269"/>
      <c r="E65" s="47">
        <f>0</f>
        <v>0</v>
      </c>
      <c r="F65" s="59"/>
      <c r="G65" s="50"/>
      <c r="H65" s="50"/>
      <c r="I65" s="50"/>
      <c r="J65" s="51"/>
      <c r="K65" s="50"/>
    </row>
    <row r="66" spans="1:11" ht="51" customHeight="1" x14ac:dyDescent="0.25">
      <c r="A66" s="241">
        <v>13</v>
      </c>
      <c r="B66" s="144" t="s">
        <v>47</v>
      </c>
      <c r="C66" s="220" t="s">
        <v>48</v>
      </c>
      <c r="D66" s="285" t="s">
        <v>49</v>
      </c>
      <c r="E66" s="14">
        <f>5262918</f>
        <v>5262918</v>
      </c>
      <c r="F66" s="145">
        <f>F67+F68</f>
        <v>3452298</v>
      </c>
      <c r="G66" s="77"/>
      <c r="H66" s="77"/>
      <c r="I66" s="77"/>
      <c r="J66" s="146"/>
      <c r="K66" s="77"/>
    </row>
    <row r="67" spans="1:11" ht="15.75" x14ac:dyDescent="0.25">
      <c r="A67" s="288"/>
      <c r="B67" s="147" t="s">
        <v>7</v>
      </c>
      <c r="C67" s="221"/>
      <c r="D67" s="230"/>
      <c r="E67" s="17">
        <f>61928</f>
        <v>61928</v>
      </c>
      <c r="F67" s="57">
        <f>39600</f>
        <v>39600</v>
      </c>
      <c r="G67" s="44"/>
      <c r="H67" s="44"/>
      <c r="I67" s="44"/>
      <c r="J67" s="45"/>
      <c r="K67" s="44"/>
    </row>
    <row r="68" spans="1:11" ht="16.5" thickBot="1" x14ac:dyDescent="0.3">
      <c r="A68" s="289"/>
      <c r="B68" s="148" t="s">
        <v>8</v>
      </c>
      <c r="C68" s="221"/>
      <c r="D68" s="230"/>
      <c r="E68" s="47">
        <f>5200990</f>
        <v>5200990</v>
      </c>
      <c r="F68" s="48">
        <f>3412698</f>
        <v>3412698</v>
      </c>
      <c r="G68" s="50"/>
      <c r="H68" s="50"/>
      <c r="I68" s="50"/>
      <c r="J68" s="51"/>
      <c r="K68" s="50"/>
    </row>
    <row r="69" spans="1:11" ht="66" customHeight="1" x14ac:dyDescent="0.25">
      <c r="A69" s="217">
        <v>14</v>
      </c>
      <c r="B69" s="52" t="s">
        <v>50</v>
      </c>
      <c r="C69" s="284" t="s">
        <v>35</v>
      </c>
      <c r="D69" s="285"/>
      <c r="E69" s="14">
        <f>E70+E71</f>
        <v>50338</v>
      </c>
      <c r="F69" s="145">
        <f>F70+F71</f>
        <v>29987</v>
      </c>
      <c r="G69" s="77"/>
      <c r="H69" s="77"/>
      <c r="I69" s="77"/>
      <c r="J69" s="77"/>
      <c r="K69" s="77"/>
    </row>
    <row r="70" spans="1:11" ht="15.75" x14ac:dyDescent="0.25">
      <c r="A70" s="282"/>
      <c r="B70" s="41" t="s">
        <v>32</v>
      </c>
      <c r="C70" s="236"/>
      <c r="D70" s="230"/>
      <c r="E70" s="17">
        <f>E72+E74+E76</f>
        <v>50338</v>
      </c>
      <c r="F70" s="57">
        <f>F72+F74+F76</f>
        <v>29987</v>
      </c>
      <c r="G70" s="44"/>
      <c r="H70" s="44"/>
      <c r="I70" s="44"/>
      <c r="J70" s="44"/>
      <c r="K70" s="44"/>
    </row>
    <row r="71" spans="1:11" ht="15.75" x14ac:dyDescent="0.25">
      <c r="A71" s="282"/>
      <c r="B71" s="149" t="s">
        <v>33</v>
      </c>
      <c r="C71" s="236"/>
      <c r="D71" s="286"/>
      <c r="E71" s="150">
        <f>0</f>
        <v>0</v>
      </c>
      <c r="F71" s="88"/>
      <c r="G71" s="89"/>
      <c r="H71" s="89"/>
      <c r="I71" s="89"/>
      <c r="J71" s="89"/>
      <c r="K71" s="89"/>
    </row>
    <row r="72" spans="1:11" ht="15.75" customHeight="1" x14ac:dyDescent="0.25">
      <c r="A72" s="282"/>
      <c r="B72" s="151" t="s">
        <v>7</v>
      </c>
      <c r="C72" s="236"/>
      <c r="D72" s="279" t="s">
        <v>96</v>
      </c>
      <c r="E72" s="35">
        <f>34638</f>
        <v>34638</v>
      </c>
      <c r="F72" s="36">
        <f>19501</f>
        <v>19501</v>
      </c>
      <c r="G72" s="38"/>
      <c r="H72" s="38"/>
      <c r="I72" s="38"/>
      <c r="J72" s="38"/>
      <c r="K72" s="38"/>
    </row>
    <row r="73" spans="1:11" ht="24.75" customHeight="1" x14ac:dyDescent="0.25">
      <c r="A73" s="282"/>
      <c r="B73" s="133" t="s">
        <v>8</v>
      </c>
      <c r="C73" s="236"/>
      <c r="D73" s="280"/>
      <c r="E73" s="17">
        <v>0</v>
      </c>
      <c r="F73" s="57"/>
      <c r="G73" s="44"/>
      <c r="H73" s="44"/>
      <c r="I73" s="44"/>
      <c r="J73" s="44"/>
      <c r="K73" s="44"/>
    </row>
    <row r="74" spans="1:11" ht="15.75" x14ac:dyDescent="0.25">
      <c r="A74" s="282"/>
      <c r="B74" s="133" t="s">
        <v>7</v>
      </c>
      <c r="C74" s="236"/>
      <c r="D74" s="281" t="s">
        <v>95</v>
      </c>
      <c r="E74" s="17">
        <f>13700</f>
        <v>13700</v>
      </c>
      <c r="F74" s="57">
        <f>8486</f>
        <v>8486</v>
      </c>
      <c r="G74" s="44"/>
      <c r="H74" s="44"/>
      <c r="I74" s="44"/>
      <c r="J74" s="44"/>
      <c r="K74" s="44"/>
    </row>
    <row r="75" spans="1:11" ht="23.25" customHeight="1" x14ac:dyDescent="0.25">
      <c r="A75" s="282"/>
      <c r="B75" s="133" t="s">
        <v>8</v>
      </c>
      <c r="C75" s="236"/>
      <c r="D75" s="279"/>
      <c r="E75" s="17">
        <v>0</v>
      </c>
      <c r="F75" s="57"/>
      <c r="G75" s="44"/>
      <c r="H75" s="44"/>
      <c r="I75" s="44"/>
      <c r="J75" s="44"/>
      <c r="K75" s="44"/>
    </row>
    <row r="76" spans="1:11" ht="15.75" x14ac:dyDescent="0.25">
      <c r="A76" s="282"/>
      <c r="B76" s="133" t="s">
        <v>7</v>
      </c>
      <c r="C76" s="236"/>
      <c r="D76" s="281" t="s">
        <v>51</v>
      </c>
      <c r="E76" s="17">
        <f>2000</f>
        <v>2000</v>
      </c>
      <c r="F76" s="57">
        <f>2000</f>
        <v>2000</v>
      </c>
      <c r="G76" s="44"/>
      <c r="H76" s="44"/>
      <c r="I76" s="44"/>
      <c r="J76" s="44"/>
      <c r="K76" s="44"/>
    </row>
    <row r="77" spans="1:11" ht="16.5" thickBot="1" x14ac:dyDescent="0.3">
      <c r="A77" s="283"/>
      <c r="B77" s="135" t="s">
        <v>8</v>
      </c>
      <c r="C77" s="237"/>
      <c r="D77" s="287"/>
      <c r="E77" s="47">
        <f>0</f>
        <v>0</v>
      </c>
      <c r="F77" s="59"/>
      <c r="G77" s="50"/>
      <c r="H77" s="50"/>
      <c r="I77" s="50"/>
      <c r="J77" s="50"/>
      <c r="K77" s="50"/>
    </row>
    <row r="78" spans="1:11" ht="45.75" x14ac:dyDescent="0.25">
      <c r="A78" s="241">
        <v>15</v>
      </c>
      <c r="B78" s="152" t="s">
        <v>52</v>
      </c>
      <c r="C78" s="250" t="s">
        <v>53</v>
      </c>
      <c r="D78" s="298" t="s">
        <v>54</v>
      </c>
      <c r="E78" s="14">
        <f>3103619-187915</f>
        <v>2915704</v>
      </c>
      <c r="F78" s="145">
        <f>700000-187915</f>
        <v>512085</v>
      </c>
      <c r="G78" s="77">
        <v>700000</v>
      </c>
      <c r="H78" s="77">
        <v>700000</v>
      </c>
      <c r="I78" s="77"/>
      <c r="J78" s="77"/>
      <c r="K78" s="77"/>
    </row>
    <row r="79" spans="1:11" ht="15.75" x14ac:dyDescent="0.25">
      <c r="A79" s="288"/>
      <c r="B79" s="41" t="s">
        <v>7</v>
      </c>
      <c r="C79" s="221"/>
      <c r="D79" s="230"/>
      <c r="E79" s="17">
        <f>3103619-187915</f>
        <v>2915704</v>
      </c>
      <c r="F79" s="57">
        <f>700000-187915</f>
        <v>512085</v>
      </c>
      <c r="G79" s="44">
        <v>700000</v>
      </c>
      <c r="H79" s="44">
        <v>700000</v>
      </c>
      <c r="I79" s="44"/>
      <c r="J79" s="44"/>
      <c r="K79" s="44"/>
    </row>
    <row r="80" spans="1:11" ht="16.5" thickBot="1" x14ac:dyDescent="0.3">
      <c r="A80" s="289"/>
      <c r="B80" s="46" t="s">
        <v>8</v>
      </c>
      <c r="C80" s="222"/>
      <c r="D80" s="231"/>
      <c r="E80" s="47">
        <f>0</f>
        <v>0</v>
      </c>
      <c r="F80" s="59"/>
      <c r="G80" s="50"/>
      <c r="H80" s="50"/>
      <c r="I80" s="50"/>
      <c r="J80" s="50"/>
      <c r="K80" s="50"/>
    </row>
    <row r="81" spans="1:11" ht="30.75" x14ac:dyDescent="0.25">
      <c r="A81" s="241">
        <v>16</v>
      </c>
      <c r="B81" s="144" t="s">
        <v>55</v>
      </c>
      <c r="C81" s="220" t="s">
        <v>35</v>
      </c>
      <c r="D81" s="295" t="s">
        <v>56</v>
      </c>
      <c r="E81" s="14">
        <f>574910</f>
        <v>574910</v>
      </c>
      <c r="F81" s="145">
        <f>230920+24400</f>
        <v>255320</v>
      </c>
      <c r="G81" s="77"/>
      <c r="H81" s="77"/>
      <c r="I81" s="120"/>
      <c r="J81" s="120"/>
      <c r="K81" s="120"/>
    </row>
    <row r="82" spans="1:11" ht="15.75" x14ac:dyDescent="0.25">
      <c r="A82" s="288"/>
      <c r="B82" s="147" t="s">
        <v>7</v>
      </c>
      <c r="C82" s="221"/>
      <c r="D82" s="296"/>
      <c r="E82" s="17">
        <f>574910</f>
        <v>574910</v>
      </c>
      <c r="F82" s="57">
        <f>230920+24400</f>
        <v>255320</v>
      </c>
      <c r="G82" s="44"/>
      <c r="H82" s="44"/>
      <c r="I82" s="44"/>
      <c r="J82" s="44"/>
      <c r="K82" s="44"/>
    </row>
    <row r="83" spans="1:11" ht="16.5" thickBot="1" x14ac:dyDescent="0.3">
      <c r="A83" s="289"/>
      <c r="B83" s="153" t="s">
        <v>8</v>
      </c>
      <c r="C83" s="222"/>
      <c r="D83" s="297"/>
      <c r="E83" s="47">
        <f>0</f>
        <v>0</v>
      </c>
      <c r="F83" s="154"/>
      <c r="G83" s="50"/>
      <c r="H83" s="50"/>
      <c r="I83" s="50"/>
      <c r="J83" s="50"/>
      <c r="K83" s="50"/>
    </row>
    <row r="84" spans="1:11" ht="30.75" customHeight="1" x14ac:dyDescent="0.25">
      <c r="A84" s="241">
        <v>17</v>
      </c>
      <c r="B84" s="144" t="s">
        <v>57</v>
      </c>
      <c r="C84" s="229" t="s">
        <v>38</v>
      </c>
      <c r="D84" s="292" t="s">
        <v>58</v>
      </c>
      <c r="E84" s="14">
        <f>E85+E86</f>
        <v>172827</v>
      </c>
      <c r="F84" s="145">
        <f>138261</f>
        <v>138261</v>
      </c>
      <c r="G84" s="77">
        <f>34566</f>
        <v>34566</v>
      </c>
      <c r="H84" s="77"/>
      <c r="I84" s="77"/>
      <c r="J84" s="77"/>
      <c r="K84" s="77"/>
    </row>
    <row r="85" spans="1:11" ht="15.75" x14ac:dyDescent="0.25">
      <c r="A85" s="242"/>
      <c r="B85" s="147" t="s">
        <v>7</v>
      </c>
      <c r="C85" s="290"/>
      <c r="D85" s="293"/>
      <c r="E85" s="17">
        <f>172827</f>
        <v>172827</v>
      </c>
      <c r="F85" s="57">
        <f>138261</f>
        <v>138261</v>
      </c>
      <c r="G85" s="44">
        <f>34566</f>
        <v>34566</v>
      </c>
      <c r="H85" s="44"/>
      <c r="I85" s="44"/>
      <c r="J85" s="44"/>
      <c r="K85" s="44"/>
    </row>
    <row r="86" spans="1:11" ht="17.25" customHeight="1" thickBot="1" x14ac:dyDescent="0.3">
      <c r="A86" s="249"/>
      <c r="B86" s="153" t="s">
        <v>8</v>
      </c>
      <c r="C86" s="291"/>
      <c r="D86" s="294"/>
      <c r="E86" s="47">
        <f>0</f>
        <v>0</v>
      </c>
      <c r="F86" s="59"/>
      <c r="G86" s="50"/>
      <c r="H86" s="50"/>
      <c r="I86" s="50"/>
      <c r="J86" s="50"/>
      <c r="K86" s="50"/>
    </row>
    <row r="87" spans="1:11" ht="18" customHeight="1" x14ac:dyDescent="0.25">
      <c r="A87" s="24" t="s">
        <v>59</v>
      </c>
      <c r="B87" s="306" t="s">
        <v>60</v>
      </c>
      <c r="C87" s="306"/>
      <c r="D87" s="208"/>
      <c r="E87" s="14">
        <f>E90+E93+E96+E99+E102+E105+E108+E111+E114+E117+E120+E123+E126+E129+E132</f>
        <v>47367474</v>
      </c>
      <c r="F87" s="156">
        <f>F90+F93+F96+F99+F102+F105+F108+F111+F114+F117+F120+F123+F126+F129+F132</f>
        <v>6393676</v>
      </c>
      <c r="G87" s="155">
        <f t="shared" ref="G87:K87" si="11">G90+G93+G96+G99+G102+G105+G108+G111+G114+G117+G120+G123+G126+G129+G132</f>
        <v>10884189</v>
      </c>
      <c r="H87" s="156">
        <f t="shared" si="11"/>
        <v>16173255</v>
      </c>
      <c r="I87" s="156">
        <f t="shared" si="11"/>
        <v>8995900</v>
      </c>
      <c r="J87" s="155">
        <f t="shared" si="11"/>
        <v>886900</v>
      </c>
      <c r="K87" s="156">
        <f t="shared" si="11"/>
        <v>940100</v>
      </c>
    </row>
    <row r="88" spans="1:11" ht="18" customHeight="1" x14ac:dyDescent="0.25">
      <c r="A88" s="16"/>
      <c r="B88" s="226" t="s">
        <v>13</v>
      </c>
      <c r="C88" s="226"/>
      <c r="D88" s="204"/>
      <c r="E88" s="17">
        <f t="shared" ref="E88:E89" si="12">E91+E94+E97+E100+E103+E106+E109+E112+E115+E118+E121+E124+E127+E130+E133</f>
        <v>7454674</v>
      </c>
      <c r="F88" s="158">
        <f>F91+F94+F97+F100+F103+F106+F109+F112+F115+F118+F121+F124+F127+F130+F133</f>
        <v>912866</v>
      </c>
      <c r="G88" s="157">
        <f t="shared" ref="G88:K88" si="13">G91+G94+G97+G100+G103+G106+G109+G112+G115+G118+G121+G124+G127+G130+G133</f>
        <v>546900</v>
      </c>
      <c r="H88" s="158">
        <f t="shared" si="13"/>
        <v>801700</v>
      </c>
      <c r="I88" s="158">
        <f t="shared" si="13"/>
        <v>725900</v>
      </c>
      <c r="J88" s="157">
        <f t="shared" si="13"/>
        <v>886900</v>
      </c>
      <c r="K88" s="158">
        <f t="shared" si="13"/>
        <v>940100</v>
      </c>
    </row>
    <row r="89" spans="1:11" ht="18" customHeight="1" thickBot="1" x14ac:dyDescent="0.3">
      <c r="A89" s="20"/>
      <c r="B89" s="227" t="s">
        <v>14</v>
      </c>
      <c r="C89" s="227"/>
      <c r="D89" s="228"/>
      <c r="E89" s="47">
        <f t="shared" si="12"/>
        <v>39912800</v>
      </c>
      <c r="F89" s="160">
        <f>F92+F95+F98+F101+F104+F107+F110+F113+F116+F119+F122+F125+F128+F131+F134</f>
        <v>5480810</v>
      </c>
      <c r="G89" s="159">
        <f t="shared" ref="G89:K89" si="14">G92+G95+G98+G101+G104+G107+G110+G113+G116+G119+G122+G125+G128+G131+G134</f>
        <v>10337289</v>
      </c>
      <c r="H89" s="160">
        <f t="shared" si="14"/>
        <v>15371555</v>
      </c>
      <c r="I89" s="160">
        <f t="shared" si="14"/>
        <v>8270000</v>
      </c>
      <c r="J89" s="159">
        <f t="shared" si="14"/>
        <v>0</v>
      </c>
      <c r="K89" s="160">
        <f t="shared" si="14"/>
        <v>0</v>
      </c>
    </row>
    <row r="90" spans="1:11" ht="30" customHeight="1" x14ac:dyDescent="0.25">
      <c r="A90" s="241">
        <v>18</v>
      </c>
      <c r="B90" s="105" t="s">
        <v>61</v>
      </c>
      <c r="C90" s="220" t="s">
        <v>62</v>
      </c>
      <c r="D90" s="285" t="s">
        <v>63</v>
      </c>
      <c r="E90" s="14">
        <f>1149000</f>
        <v>1149000</v>
      </c>
      <c r="F90" s="119">
        <v>178000</v>
      </c>
      <c r="G90" s="77">
        <v>183000</v>
      </c>
      <c r="H90" s="77">
        <v>188000</v>
      </c>
      <c r="I90" s="77">
        <v>194000</v>
      </c>
      <c r="J90" s="146">
        <v>200000</v>
      </c>
      <c r="K90" s="77">
        <v>206000</v>
      </c>
    </row>
    <row r="91" spans="1:11" ht="15.75" x14ac:dyDescent="0.25">
      <c r="A91" s="288"/>
      <c r="B91" s="56" t="s">
        <v>7</v>
      </c>
      <c r="C91" s="221"/>
      <c r="D91" s="304"/>
      <c r="E91" s="17">
        <f>1149000</f>
        <v>1149000</v>
      </c>
      <c r="F91" s="134">
        <v>178000</v>
      </c>
      <c r="G91" s="44">
        <v>183000</v>
      </c>
      <c r="H91" s="44">
        <v>188000</v>
      </c>
      <c r="I91" s="44">
        <v>194000</v>
      </c>
      <c r="J91" s="45">
        <v>200000</v>
      </c>
      <c r="K91" s="44">
        <v>206000</v>
      </c>
    </row>
    <row r="92" spans="1:11" ht="16.5" thickBot="1" x14ac:dyDescent="0.3">
      <c r="A92" s="289"/>
      <c r="B92" s="58" t="s">
        <v>8</v>
      </c>
      <c r="C92" s="222"/>
      <c r="D92" s="305"/>
      <c r="E92" s="47">
        <f>0</f>
        <v>0</v>
      </c>
      <c r="F92" s="59"/>
      <c r="G92" s="50"/>
      <c r="H92" s="50"/>
      <c r="I92" s="50"/>
      <c r="J92" s="51"/>
      <c r="K92" s="50"/>
    </row>
    <row r="93" spans="1:11" ht="30.75" x14ac:dyDescent="0.25">
      <c r="A93" s="299">
        <v>19</v>
      </c>
      <c r="B93" s="161" t="s">
        <v>64</v>
      </c>
      <c r="C93" s="301" t="s">
        <v>65</v>
      </c>
      <c r="D93" s="298" t="s">
        <v>66</v>
      </c>
      <c r="E93" s="14">
        <f>15237046</f>
        <v>15237046</v>
      </c>
      <c r="F93" s="145"/>
      <c r="G93" s="77"/>
      <c r="H93" s="180">
        <v>7500000</v>
      </c>
      <c r="I93" s="77">
        <v>7500000</v>
      </c>
      <c r="J93" s="146"/>
      <c r="K93" s="77"/>
    </row>
    <row r="94" spans="1:11" ht="15.75" x14ac:dyDescent="0.25">
      <c r="A94" s="202"/>
      <c r="B94" s="78" t="s">
        <v>7</v>
      </c>
      <c r="C94" s="302"/>
      <c r="D94" s="230"/>
      <c r="E94" s="17">
        <f>0</f>
        <v>0</v>
      </c>
      <c r="F94" s="57"/>
      <c r="G94" s="44"/>
      <c r="H94" s="44"/>
      <c r="I94" s="44"/>
      <c r="J94" s="45"/>
      <c r="K94" s="44"/>
    </row>
    <row r="95" spans="1:11" ht="16.5" thickBot="1" x14ac:dyDescent="0.3">
      <c r="A95" s="300"/>
      <c r="B95" s="162" t="s">
        <v>67</v>
      </c>
      <c r="C95" s="303"/>
      <c r="D95" s="231"/>
      <c r="E95" s="21">
        <f>15237046</f>
        <v>15237046</v>
      </c>
      <c r="F95" s="138"/>
      <c r="G95" s="139"/>
      <c r="H95" s="139">
        <v>7500000</v>
      </c>
      <c r="I95" s="139">
        <v>7500000</v>
      </c>
      <c r="J95" s="140"/>
      <c r="K95" s="139"/>
    </row>
    <row r="96" spans="1:11" ht="45.75" customHeight="1" x14ac:dyDescent="0.25">
      <c r="A96" s="241">
        <v>20</v>
      </c>
      <c r="B96" s="163" t="s">
        <v>68</v>
      </c>
      <c r="C96" s="229" t="s">
        <v>69</v>
      </c>
      <c r="D96" s="223" t="s">
        <v>70</v>
      </c>
      <c r="E96" s="14">
        <f>12728858+1939609</f>
        <v>14668467</v>
      </c>
      <c r="F96" s="76">
        <f>F97+F98</f>
        <v>4877158</v>
      </c>
      <c r="G96" s="77">
        <f>G97+G98</f>
        <v>4072654</v>
      </c>
      <c r="H96" s="77">
        <f>5529555</f>
        <v>5529555</v>
      </c>
      <c r="I96" s="77"/>
      <c r="J96" s="146"/>
      <c r="K96" s="77"/>
    </row>
    <row r="97" spans="1:11" ht="15.75" x14ac:dyDescent="0.25">
      <c r="A97" s="202"/>
      <c r="B97" s="147" t="s">
        <v>7</v>
      </c>
      <c r="C97" s="290"/>
      <c r="D97" s="230"/>
      <c r="E97" s="17">
        <f>0</f>
        <v>0</v>
      </c>
      <c r="F97" s="43"/>
      <c r="G97" s="44"/>
      <c r="H97" s="44"/>
      <c r="I97" s="44"/>
      <c r="J97" s="45"/>
      <c r="K97" s="44"/>
    </row>
    <row r="98" spans="1:11" ht="16.5" thickBot="1" x14ac:dyDescent="0.3">
      <c r="A98" s="300"/>
      <c r="B98" s="153" t="s">
        <v>8</v>
      </c>
      <c r="C98" s="291"/>
      <c r="D98" s="231"/>
      <c r="E98" s="47">
        <f>12728858+1939609</f>
        <v>14668467</v>
      </c>
      <c r="F98" s="49">
        <f>5201041-323883</f>
        <v>4877158</v>
      </c>
      <c r="G98" s="50">
        <f>7662600-3589946</f>
        <v>4072654</v>
      </c>
      <c r="H98" s="50">
        <f>5529555</f>
        <v>5529555</v>
      </c>
      <c r="I98" s="50"/>
      <c r="J98" s="51"/>
      <c r="K98" s="50"/>
    </row>
    <row r="99" spans="1:11" ht="45.75" customHeight="1" x14ac:dyDescent="0.25">
      <c r="A99" s="241">
        <v>21</v>
      </c>
      <c r="B99" s="74" t="s">
        <v>71</v>
      </c>
      <c r="C99" s="309" t="s">
        <v>38</v>
      </c>
      <c r="D99" s="223" t="s">
        <v>72</v>
      </c>
      <c r="E99" s="35">
        <f>2031980</f>
        <v>2031980</v>
      </c>
      <c r="F99" s="36">
        <v>31980</v>
      </c>
      <c r="G99" s="38">
        <v>2000000</v>
      </c>
      <c r="H99" s="38"/>
      <c r="I99" s="38"/>
      <c r="J99" s="92"/>
      <c r="K99" s="38"/>
    </row>
    <row r="100" spans="1:11" ht="15.75" x14ac:dyDescent="0.25">
      <c r="A100" s="202"/>
      <c r="B100" s="78" t="s">
        <v>7</v>
      </c>
      <c r="C100" s="310"/>
      <c r="D100" s="230"/>
      <c r="E100" s="17">
        <f>0</f>
        <v>0</v>
      </c>
      <c r="F100" s="57"/>
      <c r="G100" s="44"/>
      <c r="H100" s="44"/>
      <c r="I100" s="44"/>
      <c r="J100" s="45"/>
      <c r="K100" s="44"/>
    </row>
    <row r="101" spans="1:11" ht="16.5" thickBot="1" x14ac:dyDescent="0.3">
      <c r="A101" s="300"/>
      <c r="B101" s="162" t="s">
        <v>67</v>
      </c>
      <c r="C101" s="311"/>
      <c r="D101" s="231"/>
      <c r="E101" s="47">
        <f>2031980</f>
        <v>2031980</v>
      </c>
      <c r="F101" s="48">
        <v>31980</v>
      </c>
      <c r="G101" s="50">
        <v>2000000</v>
      </c>
      <c r="H101" s="50"/>
      <c r="I101" s="50"/>
      <c r="J101" s="51"/>
      <c r="K101" s="50"/>
    </row>
    <row r="102" spans="1:11" ht="36" customHeight="1" x14ac:dyDescent="0.25">
      <c r="A102" s="241">
        <v>22</v>
      </c>
      <c r="B102" s="74" t="s">
        <v>73</v>
      </c>
      <c r="C102" s="309" t="s">
        <v>74</v>
      </c>
      <c r="D102" s="223" t="s">
        <v>75</v>
      </c>
      <c r="E102" s="14">
        <f>730000</f>
        <v>730000</v>
      </c>
      <c r="F102" s="145">
        <v>130000</v>
      </c>
      <c r="G102" s="77">
        <v>300000</v>
      </c>
      <c r="H102" s="77">
        <v>300000</v>
      </c>
      <c r="I102" s="77"/>
      <c r="J102" s="146"/>
      <c r="K102" s="77"/>
    </row>
    <row r="103" spans="1:11" ht="15.75" x14ac:dyDescent="0.25">
      <c r="A103" s="307"/>
      <c r="B103" s="78" t="s">
        <v>7</v>
      </c>
      <c r="C103" s="310"/>
      <c r="D103" s="312"/>
      <c r="E103" s="17">
        <f>0</f>
        <v>0</v>
      </c>
      <c r="F103" s="57"/>
      <c r="G103" s="44"/>
      <c r="H103" s="44"/>
      <c r="I103" s="44"/>
      <c r="J103" s="45"/>
      <c r="K103" s="44"/>
    </row>
    <row r="104" spans="1:11" ht="16.5" thickBot="1" x14ac:dyDescent="0.3">
      <c r="A104" s="308"/>
      <c r="B104" s="162" t="s">
        <v>67</v>
      </c>
      <c r="C104" s="311"/>
      <c r="D104" s="313"/>
      <c r="E104" s="47">
        <f>730000</f>
        <v>730000</v>
      </c>
      <c r="F104" s="48">
        <v>130000</v>
      </c>
      <c r="G104" s="50">
        <v>300000</v>
      </c>
      <c r="H104" s="50">
        <v>300000</v>
      </c>
      <c r="I104" s="50"/>
      <c r="J104" s="51"/>
      <c r="K104" s="50"/>
    </row>
    <row r="105" spans="1:11" ht="30.75" x14ac:dyDescent="0.25">
      <c r="A105" s="299">
        <v>23</v>
      </c>
      <c r="B105" s="74" t="s">
        <v>76</v>
      </c>
      <c r="C105" s="309" t="s">
        <v>38</v>
      </c>
      <c r="D105" s="223" t="s">
        <v>77</v>
      </c>
      <c r="E105" s="14">
        <f>560000</f>
        <v>560000</v>
      </c>
      <c r="F105" s="145">
        <f>180000</f>
        <v>180000</v>
      </c>
      <c r="G105" s="77">
        <f>380000</f>
        <v>380000</v>
      </c>
      <c r="H105" s="77"/>
      <c r="I105" s="77"/>
      <c r="J105" s="146"/>
      <c r="K105" s="77"/>
    </row>
    <row r="106" spans="1:11" ht="15.75" x14ac:dyDescent="0.25">
      <c r="A106" s="202"/>
      <c r="B106" s="78" t="s">
        <v>7</v>
      </c>
      <c r="C106" s="302"/>
      <c r="D106" s="230"/>
      <c r="E106" s="17">
        <f>0</f>
        <v>0</v>
      </c>
      <c r="F106" s="57"/>
      <c r="G106" s="44"/>
      <c r="H106" s="44"/>
      <c r="I106" s="44"/>
      <c r="J106" s="45"/>
      <c r="K106" s="44"/>
    </row>
    <row r="107" spans="1:11" ht="16.5" thickBot="1" x14ac:dyDescent="0.3">
      <c r="A107" s="300"/>
      <c r="B107" s="162" t="s">
        <v>67</v>
      </c>
      <c r="C107" s="303"/>
      <c r="D107" s="231"/>
      <c r="E107" s="47">
        <f>560000</f>
        <v>560000</v>
      </c>
      <c r="F107" s="48">
        <f>180000</f>
        <v>180000</v>
      </c>
      <c r="G107" s="50">
        <f>380000</f>
        <v>380000</v>
      </c>
      <c r="H107" s="50"/>
      <c r="I107" s="50"/>
      <c r="J107" s="51"/>
      <c r="K107" s="50"/>
    </row>
    <row r="108" spans="1:11" ht="30.75" customHeight="1" x14ac:dyDescent="0.25">
      <c r="A108" s="299">
        <v>24</v>
      </c>
      <c r="B108" s="164" t="s">
        <v>78</v>
      </c>
      <c r="C108" s="314" t="s">
        <v>35</v>
      </c>
      <c r="D108" s="292" t="s">
        <v>79</v>
      </c>
      <c r="E108" s="14">
        <f>3065308-10734</f>
        <v>3054574</v>
      </c>
      <c r="F108" s="145">
        <f>425000-10734</f>
        <v>414266</v>
      </c>
      <c r="G108" s="77"/>
      <c r="H108" s="77"/>
      <c r="I108" s="77"/>
      <c r="J108" s="146"/>
      <c r="K108" s="77"/>
    </row>
    <row r="109" spans="1:11" ht="15.75" x14ac:dyDescent="0.25">
      <c r="A109" s="202"/>
      <c r="B109" s="165" t="s">
        <v>7</v>
      </c>
      <c r="C109" s="221"/>
      <c r="D109" s="296"/>
      <c r="E109" s="17">
        <f>3065308-10734</f>
        <v>3054574</v>
      </c>
      <c r="F109" s="57">
        <f>425000-10734</f>
        <v>414266</v>
      </c>
      <c r="G109" s="44"/>
      <c r="H109" s="44"/>
      <c r="I109" s="44"/>
      <c r="J109" s="45"/>
      <c r="K109" s="44"/>
    </row>
    <row r="110" spans="1:11" ht="16.5" thickBot="1" x14ac:dyDescent="0.3">
      <c r="A110" s="300"/>
      <c r="B110" s="166" t="s">
        <v>67</v>
      </c>
      <c r="C110" s="222"/>
      <c r="D110" s="297"/>
      <c r="E110" s="47">
        <f>0</f>
        <v>0</v>
      </c>
      <c r="F110" s="48"/>
      <c r="G110" s="50"/>
      <c r="H110" s="50"/>
      <c r="I110" s="50"/>
      <c r="J110" s="51"/>
      <c r="K110" s="50"/>
    </row>
    <row r="111" spans="1:11" ht="51" customHeight="1" x14ac:dyDescent="0.25">
      <c r="A111" s="241">
        <v>25</v>
      </c>
      <c r="B111" s="82" t="s">
        <v>80</v>
      </c>
      <c r="C111" s="309" t="s">
        <v>38</v>
      </c>
      <c r="D111" s="223" t="s">
        <v>49</v>
      </c>
      <c r="E111" s="14">
        <f>656000</f>
        <v>656000</v>
      </c>
      <c r="F111" s="36">
        <v>306600</v>
      </c>
      <c r="G111" s="38">
        <v>349400</v>
      </c>
      <c r="H111" s="38"/>
      <c r="I111" s="38"/>
      <c r="J111" s="92"/>
      <c r="K111" s="38"/>
    </row>
    <row r="112" spans="1:11" ht="15.75" x14ac:dyDescent="0.25">
      <c r="A112" s="202"/>
      <c r="B112" s="78" t="s">
        <v>7</v>
      </c>
      <c r="C112" s="302"/>
      <c r="D112" s="230"/>
      <c r="E112" s="17">
        <f>656000</f>
        <v>656000</v>
      </c>
      <c r="F112" s="57">
        <v>306600</v>
      </c>
      <c r="G112" s="44">
        <v>349400</v>
      </c>
      <c r="H112" s="44"/>
      <c r="I112" s="44"/>
      <c r="J112" s="45"/>
      <c r="K112" s="44"/>
    </row>
    <row r="113" spans="1:11" ht="16.5" thickBot="1" x14ac:dyDescent="0.3">
      <c r="A113" s="300"/>
      <c r="B113" s="162" t="s">
        <v>67</v>
      </c>
      <c r="C113" s="303"/>
      <c r="D113" s="231"/>
      <c r="E113" s="47">
        <f>0</f>
        <v>0</v>
      </c>
      <c r="F113" s="48"/>
      <c r="G113" s="50"/>
      <c r="H113" s="50"/>
      <c r="I113" s="50"/>
      <c r="J113" s="51"/>
      <c r="K113" s="50"/>
    </row>
    <row r="114" spans="1:11" ht="30" customHeight="1" x14ac:dyDescent="0.25">
      <c r="A114" s="241">
        <v>26</v>
      </c>
      <c r="B114" s="164" t="s">
        <v>81</v>
      </c>
      <c r="C114" s="309" t="s">
        <v>82</v>
      </c>
      <c r="D114" s="223" t="s">
        <v>20</v>
      </c>
      <c r="E114" s="14">
        <f>861800</f>
        <v>861800</v>
      </c>
      <c r="F114" s="145"/>
      <c r="G114" s="77"/>
      <c r="H114" s="77">
        <v>471600</v>
      </c>
      <c r="I114" s="77">
        <v>290200</v>
      </c>
      <c r="J114" s="146">
        <v>100000</v>
      </c>
      <c r="K114" s="77"/>
    </row>
    <row r="115" spans="1:11" ht="15.75" x14ac:dyDescent="0.25">
      <c r="A115" s="202"/>
      <c r="B115" s="78" t="s">
        <v>7</v>
      </c>
      <c r="C115" s="302"/>
      <c r="D115" s="230"/>
      <c r="E115" s="17">
        <f>861800</f>
        <v>861800</v>
      </c>
      <c r="F115" s="57"/>
      <c r="G115" s="44"/>
      <c r="H115" s="44">
        <v>471600</v>
      </c>
      <c r="I115" s="44">
        <v>290200</v>
      </c>
      <c r="J115" s="45">
        <v>100000</v>
      </c>
      <c r="K115" s="44"/>
    </row>
    <row r="116" spans="1:11" ht="16.5" thickBot="1" x14ac:dyDescent="0.3">
      <c r="A116" s="300"/>
      <c r="B116" s="162" t="s">
        <v>67</v>
      </c>
      <c r="C116" s="303"/>
      <c r="D116" s="231"/>
      <c r="E116" s="47">
        <f>0</f>
        <v>0</v>
      </c>
      <c r="F116" s="48"/>
      <c r="G116" s="50"/>
      <c r="H116" s="50"/>
      <c r="I116" s="50"/>
      <c r="J116" s="51"/>
      <c r="K116" s="50"/>
    </row>
    <row r="117" spans="1:11" ht="45" x14ac:dyDescent="0.25">
      <c r="A117" s="241">
        <v>27</v>
      </c>
      <c r="B117" s="164" t="s">
        <v>83</v>
      </c>
      <c r="C117" s="309" t="s">
        <v>84</v>
      </c>
      <c r="D117" s="223" t="s">
        <v>20</v>
      </c>
      <c r="E117" s="14">
        <f>599300</f>
        <v>599300</v>
      </c>
      <c r="F117" s="145"/>
      <c r="G117" s="77"/>
      <c r="H117" s="77">
        <v>117100</v>
      </c>
      <c r="I117" s="77">
        <v>226700</v>
      </c>
      <c r="J117" s="146">
        <v>127400</v>
      </c>
      <c r="K117" s="77">
        <v>128100</v>
      </c>
    </row>
    <row r="118" spans="1:11" ht="15.75" x14ac:dyDescent="0.25">
      <c r="A118" s="202"/>
      <c r="B118" s="78" t="s">
        <v>7</v>
      </c>
      <c r="C118" s="302"/>
      <c r="D118" s="230"/>
      <c r="E118" s="17">
        <f>599300</f>
        <v>599300</v>
      </c>
      <c r="F118" s="57"/>
      <c r="G118" s="44"/>
      <c r="H118" s="44">
        <v>117100</v>
      </c>
      <c r="I118" s="44">
        <v>226700</v>
      </c>
      <c r="J118" s="45">
        <v>127400</v>
      </c>
      <c r="K118" s="44">
        <v>128100</v>
      </c>
    </row>
    <row r="119" spans="1:11" ht="16.5" thickBot="1" x14ac:dyDescent="0.3">
      <c r="A119" s="300"/>
      <c r="B119" s="162" t="s">
        <v>67</v>
      </c>
      <c r="C119" s="303"/>
      <c r="D119" s="231"/>
      <c r="E119" s="47">
        <f>0</f>
        <v>0</v>
      </c>
      <c r="F119" s="48"/>
      <c r="G119" s="50"/>
      <c r="H119" s="50"/>
      <c r="I119" s="50"/>
      <c r="J119" s="51"/>
      <c r="K119" s="50"/>
    </row>
    <row r="120" spans="1:11" ht="39" customHeight="1" x14ac:dyDescent="0.25">
      <c r="A120" s="241">
        <v>28</v>
      </c>
      <c r="B120" s="164" t="s">
        <v>85</v>
      </c>
      <c r="C120" s="309" t="s">
        <v>86</v>
      </c>
      <c r="D120" s="223" t="s">
        <v>87</v>
      </c>
      <c r="E120" s="14">
        <f>1032500</f>
        <v>1032500</v>
      </c>
      <c r="F120" s="145"/>
      <c r="G120" s="77"/>
      <c r="H120" s="77"/>
      <c r="I120" s="77"/>
      <c r="J120" s="146">
        <v>443500</v>
      </c>
      <c r="K120" s="77">
        <v>589000</v>
      </c>
    </row>
    <row r="121" spans="1:11" ht="15.75" x14ac:dyDescent="0.25">
      <c r="A121" s="202"/>
      <c r="B121" s="78" t="s">
        <v>7</v>
      </c>
      <c r="C121" s="302"/>
      <c r="D121" s="230"/>
      <c r="E121" s="17">
        <f>1032500</f>
        <v>1032500</v>
      </c>
      <c r="F121" s="57"/>
      <c r="G121" s="44"/>
      <c r="H121" s="44"/>
      <c r="I121" s="44"/>
      <c r="J121" s="45">
        <v>443500</v>
      </c>
      <c r="K121" s="44">
        <v>589000</v>
      </c>
    </row>
    <row r="122" spans="1:11" ht="16.5" thickBot="1" x14ac:dyDescent="0.3">
      <c r="A122" s="202"/>
      <c r="B122" s="167" t="s">
        <v>67</v>
      </c>
      <c r="C122" s="302"/>
      <c r="D122" s="230"/>
      <c r="E122" s="47">
        <f>0</f>
        <v>0</v>
      </c>
      <c r="F122" s="48"/>
      <c r="G122" s="50"/>
      <c r="H122" s="50"/>
      <c r="I122" s="50"/>
      <c r="J122" s="51"/>
      <c r="K122" s="50"/>
    </row>
    <row r="123" spans="1:11" ht="30" x14ac:dyDescent="0.25">
      <c r="A123" s="315">
        <v>29</v>
      </c>
      <c r="B123" s="52" t="s">
        <v>88</v>
      </c>
      <c r="C123" s="229" t="s">
        <v>89</v>
      </c>
      <c r="D123" s="223" t="s">
        <v>90</v>
      </c>
      <c r="E123" s="168">
        <f>880000</f>
        <v>880000</v>
      </c>
      <c r="F123" s="169">
        <f>110000</f>
        <v>110000</v>
      </c>
      <c r="G123" s="170"/>
      <c r="H123" s="171"/>
      <c r="I123" s="172">
        <f>770000</f>
        <v>770000</v>
      </c>
      <c r="J123" s="171"/>
      <c r="K123" s="171"/>
    </row>
    <row r="124" spans="1:11" ht="15.75" x14ac:dyDescent="0.25">
      <c r="A124" s="202"/>
      <c r="B124" s="41" t="s">
        <v>7</v>
      </c>
      <c r="C124" s="221"/>
      <c r="D124" s="230"/>
      <c r="E124" s="173">
        <f>0</f>
        <v>0</v>
      </c>
      <c r="F124" s="61"/>
      <c r="G124" s="174"/>
      <c r="H124" s="62"/>
      <c r="I124" s="63"/>
      <c r="J124" s="62"/>
      <c r="K124" s="62"/>
    </row>
    <row r="125" spans="1:11" ht="16.5" thickBot="1" x14ac:dyDescent="0.3">
      <c r="A125" s="300"/>
      <c r="B125" s="46" t="s">
        <v>67</v>
      </c>
      <c r="C125" s="222"/>
      <c r="D125" s="231"/>
      <c r="E125" s="175">
        <f>880000</f>
        <v>880000</v>
      </c>
      <c r="F125" s="66">
        <f>110000</f>
        <v>110000</v>
      </c>
      <c r="G125" s="176"/>
      <c r="H125" s="67"/>
      <c r="I125" s="68">
        <f>770000</f>
        <v>770000</v>
      </c>
      <c r="J125" s="67"/>
      <c r="K125" s="67"/>
    </row>
    <row r="126" spans="1:11" ht="30.75" customHeight="1" x14ac:dyDescent="0.25">
      <c r="A126" s="248">
        <v>30</v>
      </c>
      <c r="B126" s="177" t="s">
        <v>91</v>
      </c>
      <c r="C126" s="316" t="s">
        <v>22</v>
      </c>
      <c r="D126" s="317" t="s">
        <v>92</v>
      </c>
      <c r="E126" s="14">
        <f>3690307</f>
        <v>3690307</v>
      </c>
      <c r="F126" s="145">
        <f>F127+F128</f>
        <v>78672</v>
      </c>
      <c r="G126" s="77">
        <f>G127+G128</f>
        <v>3584635</v>
      </c>
      <c r="H126" s="77"/>
      <c r="I126" s="121"/>
      <c r="J126" s="120"/>
      <c r="K126" s="120"/>
    </row>
    <row r="127" spans="1:11" ht="15.75" x14ac:dyDescent="0.25">
      <c r="A127" s="202"/>
      <c r="B127" s="147" t="s">
        <v>7</v>
      </c>
      <c r="C127" s="221"/>
      <c r="D127" s="230"/>
      <c r="E127" s="17">
        <f>0</f>
        <v>0</v>
      </c>
      <c r="F127" s="60"/>
      <c r="G127" s="62"/>
      <c r="H127" s="62"/>
      <c r="I127" s="63"/>
      <c r="J127" s="62"/>
      <c r="K127" s="62"/>
    </row>
    <row r="128" spans="1:11" ht="16.5" thickBot="1" x14ac:dyDescent="0.3">
      <c r="A128" s="300"/>
      <c r="B128" s="178" t="s">
        <v>8</v>
      </c>
      <c r="C128" s="221"/>
      <c r="D128" s="230"/>
      <c r="E128" s="47">
        <f>3690307</f>
        <v>3690307</v>
      </c>
      <c r="F128" s="65">
        <f>78672</f>
        <v>78672</v>
      </c>
      <c r="G128" s="67">
        <f>3584635</f>
        <v>3584635</v>
      </c>
      <c r="H128" s="67"/>
      <c r="I128" s="68"/>
      <c r="J128" s="67"/>
      <c r="K128" s="67"/>
    </row>
    <row r="129" spans="1:11" ht="30.75" x14ac:dyDescent="0.25">
      <c r="A129" s="241">
        <v>31</v>
      </c>
      <c r="B129" s="69" t="s">
        <v>93</v>
      </c>
      <c r="C129" s="229" t="s">
        <v>74</v>
      </c>
      <c r="D129" s="223" t="s">
        <v>92</v>
      </c>
      <c r="E129" s="179">
        <f>2115000</f>
        <v>2115000</v>
      </c>
      <c r="F129" s="169">
        <f>73000</f>
        <v>73000</v>
      </c>
      <c r="G129" s="171"/>
      <c r="H129" s="171">
        <f>2042000</f>
        <v>2042000</v>
      </c>
      <c r="I129" s="172"/>
      <c r="J129" s="171"/>
      <c r="K129" s="171"/>
    </row>
    <row r="130" spans="1:11" ht="15.75" x14ac:dyDescent="0.25">
      <c r="A130" s="202"/>
      <c r="B130" s="41" t="s">
        <v>7</v>
      </c>
      <c r="C130" s="221"/>
      <c r="D130" s="230"/>
      <c r="E130" s="17">
        <f>0</f>
        <v>0</v>
      </c>
      <c r="F130" s="61"/>
      <c r="G130" s="62"/>
      <c r="H130" s="62"/>
      <c r="I130" s="63"/>
      <c r="J130" s="62"/>
      <c r="K130" s="62"/>
    </row>
    <row r="131" spans="1:11" ht="16.5" thickBot="1" x14ac:dyDescent="0.3">
      <c r="A131" s="300"/>
      <c r="B131" s="103" t="s">
        <v>8</v>
      </c>
      <c r="C131" s="222"/>
      <c r="D131" s="231"/>
      <c r="E131" s="47">
        <f>2115000</f>
        <v>2115000</v>
      </c>
      <c r="F131" s="66">
        <f>73000</f>
        <v>73000</v>
      </c>
      <c r="G131" s="67"/>
      <c r="H131" s="67">
        <f>2042000</f>
        <v>2042000</v>
      </c>
      <c r="I131" s="68"/>
      <c r="J131" s="67"/>
      <c r="K131" s="67"/>
    </row>
    <row r="132" spans="1:11" ht="33" customHeight="1" x14ac:dyDescent="0.25">
      <c r="A132" s="241">
        <v>31</v>
      </c>
      <c r="B132" s="105" t="s">
        <v>94</v>
      </c>
      <c r="C132" s="309" t="s">
        <v>62</v>
      </c>
      <c r="D132" s="285" t="s">
        <v>92</v>
      </c>
      <c r="E132" s="14">
        <f>101500</f>
        <v>101500</v>
      </c>
      <c r="F132" s="145">
        <v>14000</v>
      </c>
      <c r="G132" s="77">
        <v>14500</v>
      </c>
      <c r="H132" s="77">
        <v>25000</v>
      </c>
      <c r="I132" s="77">
        <v>15000</v>
      </c>
      <c r="J132" s="146">
        <v>16000</v>
      </c>
      <c r="K132" s="106">
        <v>17000</v>
      </c>
    </row>
    <row r="133" spans="1:11" ht="15.75" x14ac:dyDescent="0.25">
      <c r="A133" s="202"/>
      <c r="B133" s="56" t="s">
        <v>7</v>
      </c>
      <c r="C133" s="302"/>
      <c r="D133" s="230"/>
      <c r="E133" s="17">
        <f>101500</f>
        <v>101500</v>
      </c>
      <c r="F133" s="57">
        <v>14000</v>
      </c>
      <c r="G133" s="44">
        <v>14500</v>
      </c>
      <c r="H133" s="44">
        <v>25000</v>
      </c>
      <c r="I133" s="44">
        <v>15000</v>
      </c>
      <c r="J133" s="45">
        <v>16000</v>
      </c>
      <c r="K133" s="109">
        <v>17000</v>
      </c>
    </row>
    <row r="134" spans="1:11" ht="16.5" thickBot="1" x14ac:dyDescent="0.3">
      <c r="A134" s="300"/>
      <c r="B134" s="58" t="s">
        <v>67</v>
      </c>
      <c r="C134" s="303"/>
      <c r="D134" s="231"/>
      <c r="E134" s="47">
        <f>0</f>
        <v>0</v>
      </c>
      <c r="F134" s="48"/>
      <c r="G134" s="50"/>
      <c r="H134" s="50"/>
      <c r="I134" s="50"/>
      <c r="J134" s="51"/>
      <c r="K134" s="116"/>
    </row>
  </sheetData>
  <mergeCells count="122">
    <mergeCell ref="A129:A131"/>
    <mergeCell ref="C129:C131"/>
    <mergeCell ref="D129:D131"/>
    <mergeCell ref="A132:A134"/>
    <mergeCell ref="C132:C134"/>
    <mergeCell ref="D132:D134"/>
    <mergeCell ref="A123:A125"/>
    <mergeCell ref="C123:C125"/>
    <mergeCell ref="D123:D125"/>
    <mergeCell ref="A126:A128"/>
    <mergeCell ref="C126:C128"/>
    <mergeCell ref="D126:D128"/>
    <mergeCell ref="A120:A122"/>
    <mergeCell ref="C120:C122"/>
    <mergeCell ref="D120:D122"/>
    <mergeCell ref="A117:A119"/>
    <mergeCell ref="C117:C119"/>
    <mergeCell ref="D117:D119"/>
    <mergeCell ref="A114:A116"/>
    <mergeCell ref="C114:C116"/>
    <mergeCell ref="D114:D116"/>
    <mergeCell ref="A111:A113"/>
    <mergeCell ref="C111:C113"/>
    <mergeCell ref="D111:D113"/>
    <mergeCell ref="A108:A110"/>
    <mergeCell ref="C108:C110"/>
    <mergeCell ref="D108:D110"/>
    <mergeCell ref="A105:A107"/>
    <mergeCell ref="C105:C107"/>
    <mergeCell ref="D105:D107"/>
    <mergeCell ref="A102:A104"/>
    <mergeCell ref="C102:C104"/>
    <mergeCell ref="D102:D104"/>
    <mergeCell ref="A99:A101"/>
    <mergeCell ref="C99:C101"/>
    <mergeCell ref="D99:D101"/>
    <mergeCell ref="A96:A98"/>
    <mergeCell ref="C96:C98"/>
    <mergeCell ref="D96:D98"/>
    <mergeCell ref="A93:A95"/>
    <mergeCell ref="C93:C95"/>
    <mergeCell ref="D93:D95"/>
    <mergeCell ref="A90:A92"/>
    <mergeCell ref="C90:C92"/>
    <mergeCell ref="D90:D92"/>
    <mergeCell ref="B87:D87"/>
    <mergeCell ref="B88:D88"/>
    <mergeCell ref="B89:D89"/>
    <mergeCell ref="A84:A86"/>
    <mergeCell ref="C84:C86"/>
    <mergeCell ref="D84:D86"/>
    <mergeCell ref="A81:A83"/>
    <mergeCell ref="C81:C83"/>
    <mergeCell ref="D81:D83"/>
    <mergeCell ref="A78:A80"/>
    <mergeCell ref="C78:C80"/>
    <mergeCell ref="D78:D80"/>
    <mergeCell ref="D72:D73"/>
    <mergeCell ref="D74:D75"/>
    <mergeCell ref="A69:A77"/>
    <mergeCell ref="C69:C77"/>
    <mergeCell ref="D69:D71"/>
    <mergeCell ref="D76:D77"/>
    <mergeCell ref="A66:A68"/>
    <mergeCell ref="C66:C68"/>
    <mergeCell ref="D66:D68"/>
    <mergeCell ref="A63:A65"/>
    <mergeCell ref="C63:C65"/>
    <mergeCell ref="D63:D65"/>
    <mergeCell ref="A60:A62"/>
    <mergeCell ref="C60:C62"/>
    <mergeCell ref="D60:D62"/>
    <mergeCell ref="A57:A59"/>
    <mergeCell ref="C57:C59"/>
    <mergeCell ref="D57:D59"/>
    <mergeCell ref="C40:C42"/>
    <mergeCell ref="D40:D42"/>
    <mergeCell ref="A33:A39"/>
    <mergeCell ref="C33:C39"/>
    <mergeCell ref="D33:D39"/>
    <mergeCell ref="A50:A56"/>
    <mergeCell ref="C50:C56"/>
    <mergeCell ref="D50:D56"/>
    <mergeCell ref="A43:A49"/>
    <mergeCell ref="C43:C49"/>
    <mergeCell ref="D43:D49"/>
    <mergeCell ref="A21:A23"/>
    <mergeCell ref="C21:C23"/>
    <mergeCell ref="D21:D23"/>
    <mergeCell ref="B16:D16"/>
    <mergeCell ref="B17:D17"/>
    <mergeCell ref="A18:A20"/>
    <mergeCell ref="C18:C20"/>
    <mergeCell ref="D18:D20"/>
    <mergeCell ref="A30:A32"/>
    <mergeCell ref="C30:C32"/>
    <mergeCell ref="D30:D32"/>
    <mergeCell ref="A27:A29"/>
    <mergeCell ref="C27:C29"/>
    <mergeCell ref="D27:D29"/>
    <mergeCell ref="A24:A26"/>
    <mergeCell ref="C24:C26"/>
    <mergeCell ref="D24:D26"/>
    <mergeCell ref="A5:A7"/>
    <mergeCell ref="B5:B7"/>
    <mergeCell ref="C5:C7"/>
    <mergeCell ref="D5:D7"/>
    <mergeCell ref="E5:E7"/>
    <mergeCell ref="F6:F7"/>
    <mergeCell ref="B13:D13"/>
    <mergeCell ref="B14:D14"/>
    <mergeCell ref="B15:D15"/>
    <mergeCell ref="B9:D9"/>
    <mergeCell ref="B10:D10"/>
    <mergeCell ref="B11:D11"/>
    <mergeCell ref="B12:D12"/>
    <mergeCell ref="F5:K5"/>
    <mergeCell ref="G6:G7"/>
    <mergeCell ref="H6:H7"/>
    <mergeCell ref="I6:I7"/>
    <mergeCell ref="J6:J7"/>
    <mergeCell ref="K6:K7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44" orientation="landscape" r:id="rId1"/>
  <headerFooter>
    <oddFooter>Strona &amp;P</oddFooter>
  </headerFooter>
  <rowBreaks count="2" manualBreakCount="2">
    <brk id="49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2011-12-29T14:12:28Z</dcterms:modified>
</cp:coreProperties>
</file>