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'Arkusz1'!$A$1:$L$152</definedName>
    <definedName name="_xlnm.Print_Titles" localSheetId="0">'Arkusz1'!$7:$10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A20" authorId="0">
      <text>
        <r>
          <rPr>
            <b/>
            <sz val="11"/>
            <rFont val="Tahoma"/>
            <family val="2"/>
          </rPr>
          <t>Autor:</t>
        </r>
        <r>
          <rPr>
            <sz val="11"/>
            <rFont val="Tahoma"/>
            <family val="2"/>
          </rPr>
          <t xml:space="preserve">
2009-2010 - </t>
        </r>
        <r>
          <rPr>
            <b/>
            <sz val="11"/>
            <rFont val="Tahoma"/>
            <family val="2"/>
          </rPr>
          <t>96.628,49 zł</t>
        </r>
        <r>
          <rPr>
            <sz val="11"/>
            <rFont val="Tahoma"/>
            <family val="2"/>
          </rPr>
          <t xml:space="preserve">
2011 - </t>
        </r>
        <r>
          <rPr>
            <b/>
            <sz val="11"/>
            <rFont val="Tahoma"/>
            <family val="2"/>
          </rPr>
          <t>302.075,48 zł</t>
        </r>
        <r>
          <rPr>
            <sz val="11"/>
            <rFont val="Tahoma"/>
            <family val="2"/>
          </rPr>
          <t xml:space="preserve">
2012 - </t>
        </r>
        <r>
          <rPr>
            <b/>
            <sz val="11"/>
            <rFont val="Tahoma"/>
            <family val="2"/>
          </rPr>
          <t>348.652,02 zł
----------------------------
         = 747.355,99 zł</t>
        </r>
      </text>
    </comment>
  </commentList>
</comments>
</file>

<file path=xl/sharedStrings.xml><?xml version="1.0" encoding="utf-8"?>
<sst xmlns="http://schemas.openxmlformats.org/spreadsheetml/2006/main" count="404" uniqueCount="201">
  <si>
    <t>m</t>
  </si>
  <si>
    <t>b</t>
  </si>
  <si>
    <t>851/85111</t>
  </si>
  <si>
    <t>801/80130</t>
  </si>
  <si>
    <t>801/80102</t>
  </si>
  <si>
    <t>710/71013</t>
  </si>
  <si>
    <t>600/60014</t>
  </si>
  <si>
    <t>020/02002</t>
  </si>
  <si>
    <t xml:space="preserve">Łączne </t>
  </si>
  <si>
    <t>1 b)</t>
  </si>
  <si>
    <t>853/85395</t>
  </si>
  <si>
    <t>801/80195</t>
  </si>
  <si>
    <t>801/80120</t>
  </si>
  <si>
    <t>801/80111</t>
  </si>
  <si>
    <t>750/75095</t>
  </si>
  <si>
    <t>750/75020</t>
  </si>
  <si>
    <t>750/75001</t>
  </si>
  <si>
    <t>1 a)</t>
  </si>
  <si>
    <t>- wyszczególnienie wydatków na program</t>
  </si>
  <si>
    <t>Umowa 1 ogółem</t>
  </si>
  <si>
    <t>- wydatki bieżące ogółem</t>
  </si>
  <si>
    <t>gwarancje i poręczenia udzielane przez jednostki samorządu terytorialnego (razem)</t>
  </si>
  <si>
    <t>3.</t>
  </si>
  <si>
    <t>- wydatki majątkowe</t>
  </si>
  <si>
    <t>- wydatki bieżące</t>
  </si>
  <si>
    <t>- wydatki majątkowe ogółem</t>
  </si>
  <si>
    <t>umowy, których realizacja w roku budżetowym i w latach następnych jest niezbędna dla zapewnienia ciągłości działania jednostki i których płatności przypadają w okresie dłuższym niż rok</t>
  </si>
  <si>
    <t>2.</t>
  </si>
  <si>
    <t>program 1 ogółem</t>
  </si>
  <si>
    <t>programy, projekty lub zadania związane z umowami partnerstwa publiczno-prywatnego (razem)</t>
  </si>
  <si>
    <t>c)</t>
  </si>
  <si>
    <t>Zmniejszenie rocznego obliczeniowego zużycia energii do ogrzewania budynków</t>
  </si>
  <si>
    <r>
      <t xml:space="preserve">Według wniosku, który będzie składany do RPO podział środków będzie następujący: 85% dofinansowanie RPO WO, 15% wkład własny Powiatu. Całość zadania na kwotę </t>
    </r>
    <r>
      <rPr>
        <b/>
        <sz val="13"/>
        <rFont val="Arial"/>
        <family val="2"/>
      </rPr>
      <t xml:space="preserve">2.115.000 zł </t>
    </r>
    <r>
      <rPr>
        <sz val="13"/>
        <rFont val="Arial"/>
        <family val="2"/>
      </rPr>
      <t xml:space="preserve">(85% - </t>
    </r>
    <r>
      <rPr>
        <b/>
        <sz val="13"/>
        <rFont val="Arial"/>
        <family val="2"/>
      </rPr>
      <t xml:space="preserve">1.797.750 zł, </t>
    </r>
    <r>
      <rPr>
        <sz val="13"/>
        <rFont val="Arial"/>
        <family val="2"/>
      </rPr>
      <t xml:space="preserve">15% - </t>
    </r>
    <r>
      <rPr>
        <b/>
        <sz val="13"/>
        <rFont val="Arial"/>
        <family val="2"/>
      </rPr>
      <t>168.000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zł</t>
    </r>
    <r>
      <rPr>
        <sz val="13"/>
        <rFont val="Arial"/>
        <family val="2"/>
      </rPr>
      <t xml:space="preserve">). 2011 - </t>
    </r>
    <r>
      <rPr>
        <b/>
        <sz val="13"/>
        <rFont val="Arial"/>
        <family val="2"/>
      </rPr>
      <t>0 zł</t>
    </r>
    <r>
      <rPr>
        <sz val="13"/>
        <rFont val="Arial"/>
        <family val="2"/>
      </rPr>
      <t xml:space="preserve">, 2012 - </t>
    </r>
    <r>
      <rPr>
        <b/>
        <sz val="13"/>
        <rFont val="Arial"/>
        <family val="2"/>
      </rPr>
      <t>168.000 zł</t>
    </r>
    <r>
      <rPr>
        <sz val="13"/>
        <rFont val="Arial"/>
        <family val="2"/>
      </rPr>
      <t xml:space="preserve"> (100% Powiat), 2013 - </t>
    </r>
    <r>
      <rPr>
        <b/>
        <sz val="13"/>
        <rFont val="Arial"/>
        <family val="2"/>
      </rPr>
      <t xml:space="preserve">1.947.000 zł </t>
    </r>
    <r>
      <rPr>
        <sz val="13"/>
        <rFont val="Arial"/>
        <family val="2"/>
      </rPr>
      <t xml:space="preserve">(UE - </t>
    </r>
    <r>
      <rPr>
        <b/>
        <sz val="13"/>
        <rFont val="Arial"/>
        <family val="2"/>
      </rPr>
      <t>1.797.750 zł</t>
    </r>
    <r>
      <rPr>
        <sz val="13"/>
        <rFont val="Arial"/>
        <family val="2"/>
      </rPr>
      <t xml:space="preserve">, Powiat - </t>
    </r>
    <r>
      <rPr>
        <b/>
        <sz val="13"/>
        <rFont val="Arial"/>
        <family val="2"/>
      </rPr>
      <t>317.250 zł</t>
    </r>
    <r>
      <rPr>
        <sz val="13"/>
        <rFont val="Arial"/>
        <family val="2"/>
      </rPr>
      <t>)</t>
    </r>
  </si>
  <si>
    <t>Starostwo Powiatowe                                      w Brzegu</t>
  </si>
  <si>
    <t>2011-2013</t>
  </si>
  <si>
    <r>
      <t>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"Termomodernizacja budynku Zakładu Opieki Leczniczej w Brzegu ul. Mossora 1" </t>
    </r>
  </si>
  <si>
    <r>
      <t xml:space="preserve">Projekt realizowany z NFOŚiGW. Dofinansowanie projektu w kwocie: </t>
    </r>
    <r>
      <rPr>
        <b/>
        <sz val="13"/>
        <rFont val="Arial"/>
        <family val="2"/>
      </rPr>
      <t>858.017 zł</t>
    </r>
    <r>
      <rPr>
        <sz val="13"/>
        <rFont val="Arial"/>
        <family val="2"/>
      </rPr>
      <t xml:space="preserve">, tj. 30% wartości kwalifikowanej projektu z NFOŚiGW (w roku 2012- </t>
    </r>
    <r>
      <rPr>
        <u val="single"/>
        <sz val="13"/>
        <rFont val="Arial"/>
        <family val="2"/>
      </rPr>
      <t>514.123 zł</t>
    </r>
    <r>
      <rPr>
        <sz val="13"/>
        <rFont val="Arial"/>
        <family val="2"/>
      </rPr>
      <t xml:space="preserve">, a w 2013 - </t>
    </r>
    <r>
      <rPr>
        <u val="single"/>
        <sz val="13"/>
        <rFont val="Arial"/>
        <family val="2"/>
      </rPr>
      <t>343.894 zł)</t>
    </r>
    <r>
      <rPr>
        <sz val="13"/>
        <rFont val="Arial"/>
        <family val="2"/>
      </rPr>
      <t xml:space="preserve">. Wkład budżetu powiatu wynosi </t>
    </r>
    <r>
      <rPr>
        <b/>
        <sz val="13"/>
        <rFont val="Arial"/>
        <family val="2"/>
      </rPr>
      <t xml:space="preserve">2.002.040 zł, </t>
    </r>
    <r>
      <rPr>
        <sz val="13"/>
        <rFont val="Arial"/>
        <family val="2"/>
      </rPr>
      <t xml:space="preserve">tj. 70% wartości kwlifikowanej projektu w podziale 10,04% w kwocie </t>
    </r>
    <r>
      <rPr>
        <b/>
        <sz val="13"/>
        <rFont val="Arial"/>
        <family val="2"/>
      </rPr>
      <t xml:space="preserve"> 287.040 zł</t>
    </r>
    <r>
      <rPr>
        <sz val="13"/>
        <rFont val="Arial"/>
        <family val="2"/>
      </rPr>
      <t xml:space="preserve"> wkład wlasny oraz 59,96% w kwocie </t>
    </r>
    <r>
      <rPr>
        <b/>
        <sz val="13"/>
        <rFont val="Arial"/>
        <family val="2"/>
      </rPr>
      <t>1.715.000 zł</t>
    </r>
    <r>
      <rPr>
        <sz val="13"/>
        <rFont val="Arial"/>
        <family val="2"/>
      </rPr>
      <t xml:space="preserve"> pożyczka z NFOŚiGW oraz koszty niekwalifikowane w wysokości </t>
    </r>
    <r>
      <rPr>
        <b/>
        <sz val="13"/>
        <rFont val="Arial"/>
        <family val="2"/>
      </rPr>
      <t>630.150 zł.</t>
    </r>
  </si>
  <si>
    <t xml:space="preserve">Program Piorytetowy NFOŚiGW System Zielonych Inwestycji cz. I Zarządzanie energią w bud. </t>
  </si>
  <si>
    <t>2007-2013</t>
  </si>
  <si>
    <r>
      <t>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"Termomodernizacja obiektu Zespołu Szkół Zawodowych nr 1 w Brzegu" </t>
    </r>
  </si>
  <si>
    <t xml:space="preserve">- wydatki majątkowe </t>
  </si>
  <si>
    <t>Likwidacja lokalnych kotłowni</t>
  </si>
  <si>
    <t>Gł. Księgowa- Anna Opioła-Piotrowska</t>
  </si>
  <si>
    <t>Zespól Szkól Rolniczych  CKP                             w  Grodkowie</t>
  </si>
  <si>
    <t>2011-2012</t>
  </si>
  <si>
    <r>
      <t xml:space="preserve">Zadanie pn. </t>
    </r>
    <r>
      <rPr>
        <b/>
        <i/>
        <sz val="13"/>
        <rFont val="Arial"/>
        <family val="2"/>
      </rPr>
      <t>"Budowa sieci i przyłączy do ECO w ZSR CKP Grodków"</t>
    </r>
  </si>
  <si>
    <t>p. Justyna Marek</t>
  </si>
  <si>
    <t>Plan 110.000 zł - termomodernizacja dachu w 2011 r. Wykonanie 0 zł</t>
  </si>
  <si>
    <t>od - 09.2011</t>
  </si>
  <si>
    <t>Zespół Szkół Specjalnych                                          w Brzegu</t>
  </si>
  <si>
    <t>2011-2014</t>
  </si>
  <si>
    <r>
      <t>Zadanie pn.</t>
    </r>
    <r>
      <rPr>
        <b/>
        <i/>
        <sz val="13"/>
        <rFont val="Arial"/>
        <family val="2"/>
      </rPr>
      <t xml:space="preserve"> "Termomodernizacja budynku Zespołu Szkół Specjalnych w Brzegu ul. Mossora 4"</t>
    </r>
  </si>
  <si>
    <t>p. Iza Wiecheć</t>
  </si>
  <si>
    <t>Starostwo Powiatowe                                          w Brzegu</t>
  </si>
  <si>
    <t>2012-2013</t>
  </si>
  <si>
    <r>
      <t>Zadanie pn.</t>
    </r>
    <r>
      <rPr>
        <b/>
        <i/>
        <sz val="13"/>
        <rFont val="Arial"/>
        <family val="2"/>
      </rPr>
      <t xml:space="preserve"> "Modernizacja ewidencji gruntów i budynków gminy Skarbimierz"</t>
    </r>
  </si>
  <si>
    <t>2015-2016</t>
  </si>
  <si>
    <r>
      <t>Zadanie pn.</t>
    </r>
    <r>
      <rPr>
        <b/>
        <i/>
        <sz val="13"/>
        <rFont val="Arial"/>
        <family val="2"/>
      </rPr>
      <t xml:space="preserve"> "Modernizacja geodezyjnej osnowy szczegółowej poziomej i wysokościowej"</t>
    </r>
  </si>
  <si>
    <t>Starostwo Powiatowe                  w Brzegu</t>
  </si>
  <si>
    <t>2013-2016</t>
  </si>
  <si>
    <r>
      <t>Zadanie pn.</t>
    </r>
    <r>
      <rPr>
        <b/>
        <i/>
        <sz val="13"/>
        <rFont val="Arial"/>
        <family val="2"/>
      </rPr>
      <t xml:space="preserve"> "Elektroniczna archiwizacja materiałów powiatowego zasobu geodezyjnego i kartograficznego - zasobu bazowego i użytkowego"</t>
    </r>
  </si>
  <si>
    <t>2013-2015</t>
  </si>
  <si>
    <r>
      <t>Zadanie pn.</t>
    </r>
    <r>
      <rPr>
        <b/>
        <i/>
        <sz val="13"/>
        <rFont val="Arial"/>
        <family val="2"/>
      </rPr>
      <t xml:space="preserve"> "Przekształcenie mapy zasadniczej do postaci cyfrowej i utworzenie baz danych"</t>
    </r>
  </si>
  <si>
    <t>Starostwo Powiatowe                                                 w Brzegu</t>
  </si>
  <si>
    <r>
      <t>Zadanie pn.</t>
    </r>
    <r>
      <rPr>
        <b/>
        <i/>
        <sz val="13"/>
        <rFont val="Arial"/>
        <family val="2"/>
      </rPr>
      <t xml:space="preserve"> "Modernizacja ewidencji gruntów i budynków gminy Grodków - obszar wiejski"</t>
    </r>
  </si>
  <si>
    <t>- wydatki majątkowe: "Przebudowa chodnika wraz z odwodnieniem w ciągu drogi powiatowej nr 1506 O w m. Tarnów Grodkowski"</t>
  </si>
  <si>
    <t>p.Ewa</t>
  </si>
  <si>
    <t>Poprawa bezpieczeństwa ruchu pieszych</t>
  </si>
  <si>
    <r>
      <rPr>
        <b/>
        <sz val="13"/>
        <rFont val="Arial"/>
        <family val="2"/>
      </rPr>
      <t>2011</t>
    </r>
    <r>
      <rPr>
        <sz val="13"/>
        <rFont val="Arial"/>
        <family val="2"/>
      </rPr>
      <t xml:space="preserve">- Dotacja celowa  z Gminy Grodków w wysokości 90.000 zł, udział powiatu - 90.000 zł      </t>
    </r>
    <r>
      <rPr>
        <b/>
        <sz val="13"/>
        <rFont val="Arial"/>
        <family val="2"/>
      </rPr>
      <t xml:space="preserve">2012 - </t>
    </r>
    <r>
      <rPr>
        <sz val="13"/>
        <rFont val="Arial"/>
        <family val="2"/>
      </rPr>
      <t xml:space="preserve">50% udział Gminy Grodkówm , 50% udział Powiatu                                </t>
    </r>
  </si>
  <si>
    <t xml:space="preserve">Zarząd Dróg Powiatowych                                  w Brzegu </t>
  </si>
  <si>
    <r>
      <t>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"Budowa chodników wraz z odwodnieniem przy drogach powiatowych na terenie miasta i gminy Grodków"</t>
    </r>
  </si>
  <si>
    <t>p. Ewa</t>
  </si>
  <si>
    <t>w 2012 r. 50% udział Gminy Lubsza, 50% udział Powiatu</t>
  </si>
  <si>
    <t xml:space="preserve"> od 31.03.2011 UR</t>
  </si>
  <si>
    <t xml:space="preserve">Zarząd Dróg Powiatowych                       w Brzegu </t>
  </si>
  <si>
    <r>
      <t>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"Budowa chodników na terenie Gminy Lubsza"                                                                  </t>
    </r>
  </si>
  <si>
    <t>Powstrzymywanie degradacji obiektu poprzez poprawę stanu technicznego</t>
  </si>
  <si>
    <t>Będzie składany wniosek o dofinansowanie z rezerwy budżetu państwa na obiekty inżynieryjne</t>
  </si>
  <si>
    <t>od 31.03.2011 UR</t>
  </si>
  <si>
    <t xml:space="preserve">Zarząd Dróg Powiatowych                  w Brzegu </t>
  </si>
  <si>
    <t>2011-2015</t>
  </si>
  <si>
    <r>
      <t>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"Odbudowa mostu w ciągu drogi powiatowej nr 1507 O na rzece Nysa Kłodzka w miejscowości Głębocko"</t>
    </r>
  </si>
  <si>
    <t>Poprawa bezpieczeństwa pieszych, ruchu drogowego i komfortu jazdy</t>
  </si>
  <si>
    <t>Zadanie realizowane w ramach Narodowego programu przebudowy dróg lokalnych. Dofinansowanie z budżetu państwa 30% lecz nie więcej niż 1.000.000 zł, 3.072.654 zł wkład własny Powiatu                                                            2011 dotacja z budżetu państwa 50% (2.220.670,37 zł) w roku 2011 od kwoty 4.441.340,74 zł</t>
  </si>
  <si>
    <t>SCHETYNÓWKA             Naniesione z wZDP                                           wg umowy udział budżetu państwa 2.544.400,- budż. Pow. 5.118.200,-</t>
  </si>
  <si>
    <t>Zarząd Dróg Powiatowych                    w Brzegu</t>
  </si>
  <si>
    <t>2010-2014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</si>
  <si>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"Przebudowa wraz z budową infrastruktury drogi powiatowej nr 1518 O Wójtowice - Jaszów"</t>
    </r>
  </si>
  <si>
    <t xml:space="preserve">Zarząd Dróg Powiatowych                    w Brzegu </t>
  </si>
  <si>
    <r>
      <t>Zadanie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"Przebudowa wraz z budową infrastruktury drogi powiatowej nr 1174 O i 1175 O Łukowice Brzeskie - Brzeg"</t>
    </r>
  </si>
  <si>
    <t>100% budżet państwa</t>
  </si>
  <si>
    <t>p. Aneta Łakoma</t>
  </si>
  <si>
    <t>Starostwo Powiatowe                                                       w Brzegu</t>
  </si>
  <si>
    <t>2011-2016</t>
  </si>
  <si>
    <r>
      <t xml:space="preserve">Zadanie pn. </t>
    </r>
    <r>
      <rPr>
        <b/>
        <i/>
        <sz val="13"/>
        <rFont val="Arial"/>
        <family val="2"/>
      </rPr>
      <t>"Wypłata ekwiwalentów za zalesienie gruntów"</t>
    </r>
  </si>
  <si>
    <t>B</t>
  </si>
  <si>
    <t>programy, projekty lub zadania pozostałe (razem)</t>
  </si>
  <si>
    <t>b)</t>
  </si>
  <si>
    <t>Podniesienie zdolności do stałego zatrudnienia 20 kobiet: z grupy 50+ i długotrwale bezrobotnych matek samotnie wychowujących dzieci do lat 6</t>
  </si>
  <si>
    <t>PUP Brzeg- p. Wiesia Szewczuk</t>
  </si>
  <si>
    <t>Powiatowy Urząd Pracy w Brzegu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</si>
  <si>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</rPr>
      <t>"Kobiety górą "</t>
    </r>
    <r>
      <rPr>
        <sz val="1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</si>
  <si>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Wzrost przedsiębiorczości w woj. opolskim oraz podniesienie aktywności zawodowej mieszkańców woj. opolskiego</t>
  </si>
  <si>
    <r>
      <t xml:space="preserve">85% UE i 15% środki krajowe tj. 100% całkowitych wydatków kwalifikowalnych projektu. Dofinansowanie projektu 85% w kwocie </t>
    </r>
    <r>
      <rPr>
        <b/>
        <sz val="13"/>
        <rFont val="Arial"/>
        <family val="2"/>
      </rPr>
      <t>184.450 zł</t>
    </r>
    <r>
      <rPr>
        <sz val="13"/>
        <rFont val="Arial"/>
        <family val="2"/>
      </rPr>
      <t xml:space="preserve">, dotacja celowa z budżetu krajowego 15% w kwocie </t>
    </r>
    <r>
      <rPr>
        <b/>
        <sz val="13"/>
        <rFont val="Arial"/>
        <family val="2"/>
      </rPr>
      <t xml:space="preserve">32.555 zł. </t>
    </r>
  </si>
  <si>
    <t>2012-2014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</si>
  <si>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</rPr>
      <t>"PO Klucz do biznesu2!"</t>
    </r>
    <r>
      <rPr>
        <sz val="1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</si>
  <si>
    <t>Podniesienie zdolności do stałego zatrudnienia u 20, w tym 10 kobiet, osób niepełnosprawnych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</si>
  <si>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</rPr>
      <t>"Stała praca"</t>
    </r>
    <r>
      <rPr>
        <sz val="1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</si>
  <si>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 xml:space="preserve">Wg umowy całkowity koszt projektu </t>
    </r>
    <r>
      <rPr>
        <b/>
        <sz val="13"/>
        <rFont val="Arial"/>
        <family val="2"/>
      </rPr>
      <t>435.384 zł</t>
    </r>
    <r>
      <rPr>
        <sz val="13"/>
        <rFont val="Arial"/>
        <family val="2"/>
      </rPr>
      <t xml:space="preserve"> z tego: dofinansowanie UE </t>
    </r>
    <r>
      <rPr>
        <b/>
        <sz val="13"/>
        <rFont val="Arial"/>
        <family val="2"/>
      </rPr>
      <t>370.076,40 zł</t>
    </r>
    <r>
      <rPr>
        <sz val="13"/>
        <rFont val="Arial"/>
        <family val="2"/>
      </rPr>
      <t xml:space="preserve">, wkład własny z Funduszu Pracy </t>
    </r>
    <r>
      <rPr>
        <b/>
        <sz val="13"/>
        <rFont val="Arial"/>
        <family val="2"/>
      </rPr>
      <t>65.307,60 zł.</t>
    </r>
    <r>
      <rPr>
        <sz val="13"/>
        <rFont val="Arial"/>
        <family val="2"/>
      </rPr>
      <t xml:space="preserve"> Wg budżetu projektu koszt roku 2011 (</t>
    </r>
    <r>
      <rPr>
        <u val="single"/>
        <sz val="13"/>
        <rFont val="Arial"/>
        <family val="2"/>
      </rPr>
      <t xml:space="preserve">123,10 zł) </t>
    </r>
    <r>
      <rPr>
        <sz val="13"/>
        <rFont val="Arial"/>
        <family val="2"/>
      </rPr>
      <t>i 2012 (</t>
    </r>
    <r>
      <rPr>
        <u val="single"/>
        <sz val="13"/>
        <rFont val="Arial"/>
        <family val="2"/>
      </rPr>
      <t>147.433,72 zł</t>
    </r>
    <r>
      <rPr>
        <sz val="13"/>
        <rFont val="Arial"/>
        <family val="2"/>
      </rPr>
      <t xml:space="preserve">) stanowi kwotę </t>
    </r>
    <r>
      <rPr>
        <u val="single"/>
        <sz val="13"/>
        <rFont val="Arial"/>
        <family val="2"/>
      </rPr>
      <t>271.157,82 zł</t>
    </r>
    <r>
      <rPr>
        <sz val="13"/>
        <rFont val="Arial"/>
        <family val="2"/>
      </rPr>
      <t xml:space="preserve">, z tego: dofinansowanie z EFS stanowi kwotę </t>
    </r>
    <r>
      <rPr>
        <u val="single"/>
        <sz val="13"/>
        <rFont val="Arial"/>
        <family val="2"/>
      </rPr>
      <t>211.257,66 zł z</t>
    </r>
    <r>
      <rPr>
        <sz val="13"/>
        <rFont val="Arial"/>
        <family val="2"/>
      </rPr>
      <t xml:space="preserve"> przeznaczeniem na wynagrodzenia osób wraz z pochodnymi oraz odpis na ZFŚS. Wkład własny - Fundusz Pracy w kwocie</t>
    </r>
    <r>
      <rPr>
        <u val="single"/>
        <sz val="13"/>
        <rFont val="Arial"/>
        <family val="2"/>
      </rPr>
      <t xml:space="preserve"> 59.900,16 </t>
    </r>
    <r>
      <rPr>
        <sz val="13"/>
        <rFont val="Arial"/>
        <family val="2"/>
      </rPr>
      <t>zł z tego wydatki 2011 r. z FP w kwocie</t>
    </r>
    <r>
      <rPr>
        <u val="single"/>
        <sz val="13"/>
        <rFont val="Arial"/>
        <family val="2"/>
      </rPr>
      <t xml:space="preserve"> 27.215 zł </t>
    </r>
    <r>
      <rPr>
        <sz val="13"/>
        <rFont val="Arial"/>
        <family val="2"/>
      </rPr>
      <t>przeznaczone na szkolenia pracowników. Zgodnie z protokołem z Zarządu wydatki zostały poniesione w 2011 r.</t>
    </r>
  </si>
  <si>
    <t>Wzmocnienie i rozwój Powiatowego Urzędu Pracy w Brzegu poprzez zatrudnienie dodatkowych pośredników pracy, doradców zawodowych oraz szkolenie pracowników kluczowych</t>
  </si>
  <si>
    <t>100 % budżet UE</t>
  </si>
  <si>
    <r>
      <t>Program:  PO KL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"Profesjonalny urząd 4"</t>
    </r>
  </si>
  <si>
    <t>Zwiekszenie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</si>
  <si>
    <t>100% budżet UE</t>
  </si>
  <si>
    <r>
      <t>Program: LEONARDO DA VINCI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"Hiszpańskie metody pracy"</t>
    </r>
  </si>
  <si>
    <t>Ograniczenie zjawiska wykluczenia społecznego osób niepełnosprawnych o 20 osób i zmniejszenie poziomu bezrobocia osób niepełnosprawnych w powiecie brzeskim o 12 osób</t>
  </si>
  <si>
    <r>
      <rPr>
        <b/>
        <sz val="13"/>
        <rFont val="Arial"/>
        <family val="2"/>
      </rPr>
      <t>85%</t>
    </r>
    <r>
      <rPr>
        <sz val="13"/>
        <rFont val="Arial"/>
        <family val="2"/>
      </rPr>
      <t xml:space="preserve"> budżet UE,</t>
    </r>
    <r>
      <rPr>
        <b/>
        <sz val="13"/>
        <rFont val="Arial"/>
        <family val="2"/>
      </rPr>
      <t xml:space="preserve"> 15%</t>
    </r>
    <r>
      <rPr>
        <sz val="13"/>
        <rFont val="Arial"/>
        <family val="2"/>
      </rPr>
      <t xml:space="preserve"> budżet krajowy. </t>
    </r>
    <r>
      <rPr>
        <u val="single"/>
        <sz val="13"/>
        <rFont val="Arial"/>
        <family val="2"/>
      </rPr>
      <t>2012</t>
    </r>
    <r>
      <rPr>
        <sz val="13"/>
        <rFont val="Arial"/>
        <family val="2"/>
      </rPr>
      <t xml:space="preserve">- </t>
    </r>
    <r>
      <rPr>
        <b/>
        <sz val="13"/>
        <rFont val="Arial"/>
        <family val="2"/>
      </rPr>
      <t xml:space="preserve">178.610 zł </t>
    </r>
    <r>
      <rPr>
        <sz val="13"/>
        <rFont val="Arial"/>
        <family val="2"/>
      </rPr>
      <t xml:space="preserve">w tym: </t>
    </r>
    <r>
      <rPr>
        <b/>
        <sz val="13"/>
        <rFont val="Arial"/>
        <family val="2"/>
      </rPr>
      <t>151.819-</t>
    </r>
    <r>
      <rPr>
        <sz val="13"/>
        <rFont val="Arial"/>
        <family val="2"/>
      </rPr>
      <t xml:space="preserve"> UE,</t>
    </r>
    <r>
      <rPr>
        <b/>
        <sz val="13"/>
        <rFont val="Arial"/>
        <family val="2"/>
      </rPr>
      <t xml:space="preserve"> 26.791</t>
    </r>
    <r>
      <rPr>
        <sz val="13"/>
        <rFont val="Arial"/>
        <family val="2"/>
      </rPr>
      <t xml:space="preserve">- budżet państwa. </t>
    </r>
    <r>
      <rPr>
        <u val="single"/>
        <sz val="13"/>
        <rFont val="Arial"/>
        <family val="2"/>
      </rPr>
      <t>2013</t>
    </r>
    <r>
      <rPr>
        <sz val="13"/>
        <rFont val="Arial"/>
        <family val="2"/>
      </rPr>
      <t xml:space="preserve">- </t>
    </r>
    <r>
      <rPr>
        <b/>
        <sz val="13"/>
        <rFont val="Arial"/>
        <family val="2"/>
      </rPr>
      <t>221.365,</t>
    </r>
    <r>
      <rPr>
        <sz val="13"/>
        <rFont val="Arial"/>
        <family val="2"/>
      </rPr>
      <t xml:space="preserve"> w tym: </t>
    </r>
    <r>
      <rPr>
        <b/>
        <sz val="13"/>
        <rFont val="Arial"/>
        <family val="2"/>
      </rPr>
      <t>188.160</t>
    </r>
    <r>
      <rPr>
        <sz val="13"/>
        <rFont val="Arial"/>
        <family val="2"/>
      </rPr>
      <t xml:space="preserve">- UE, </t>
    </r>
    <r>
      <rPr>
        <b/>
        <sz val="13"/>
        <rFont val="Arial"/>
        <family val="2"/>
      </rPr>
      <t>33.205</t>
    </r>
    <r>
      <rPr>
        <sz val="13"/>
        <rFont val="Arial"/>
        <family val="2"/>
      </rPr>
      <t>- budżet państwa</t>
    </r>
  </si>
  <si>
    <t>p. Jagoda Główna księgowa: Jadwiga Bliskowska</t>
  </si>
  <si>
    <t>Powiatowe Centrum Pomocy Rodzinie                   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</si>
  <si>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"Dajmy Sobie Szansę"</t>
    </r>
  </si>
  <si>
    <t>Aktywna integracja zawodowa, społeczna, edukacyjna i zdrowotna osób niepełnosprawnych i usamodzielnianych wychowanków placówek opiekuńczo wychowawczych oraz rodzin zastępczych</t>
  </si>
  <si>
    <t>2008-2013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</si>
  <si>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"Aktywizacja zawodowa i społeczna wychowanków placówek opiekuńczo-wychowawczych i osób niepełnosprawnych"</t>
    </r>
  </si>
  <si>
    <t>Podniesienie atrakcyjności i jakości szkolnictwa zawodowego</t>
  </si>
  <si>
    <t>p. Gosia Ptak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</si>
  <si>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"Profesjonalni w zawodzie" </t>
    </r>
  </si>
  <si>
    <t>- wydatki majątkowe razem</t>
  </si>
  <si>
    <t>- wydatki bieżące razem</t>
  </si>
  <si>
    <t>Budowa i rozwój portalu e-Szkoła oraz e-usług dla mieszkańców</t>
  </si>
  <si>
    <t>p. Alina/ p. Michał Siek</t>
  </si>
  <si>
    <t>Starostwo Powiatowe                w Brzegu</t>
  </si>
  <si>
    <t>2010-2012</t>
  </si>
  <si>
    <r>
      <t>Program: RPO WO 2007-2013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"Opolska e-Szkoła, szkołą ku przyszłości" </t>
    </r>
  </si>
  <si>
    <t>Wyrównywanie szans edukacyjnych uczniów z grup o utrudnionym dostępie do edukacji oraz zmniejszenie różnic w jakości usług edukacyjnych</t>
  </si>
  <si>
    <t>p. Asia Niedziela</t>
  </si>
  <si>
    <t>Starostwo Powiatowe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</si>
  <si>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"Aktywnie w przyszłość" </t>
    </r>
  </si>
  <si>
    <t>Podniesienie wiedzy i kwalifikacji nauczycieli i kadry administracyjnej oświaty podległej organowi prowadzącemu jakim jest Powiat Brzeski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</si>
  <si>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"Wysokie kwalifikacje nauczycieli inwestycją w lepszą przyszłość młodzieży" </t>
    </r>
  </si>
  <si>
    <t>Zapewnienie optymalnej jakości wykonywania zadań publicznych jednostek samorzadu terytorialnego poprzez usprawnienie zarządzania  procesami ich realizacji przez urzędy projektodawców</t>
  </si>
  <si>
    <t>85% UE, 15% budżet Państwa</t>
  </si>
  <si>
    <t>p. Asia Niedziela          2009-2010- 14.644,-</t>
  </si>
  <si>
    <t>Starostwo Powiatowe                 w Brzegu</t>
  </si>
  <si>
    <t>2009-2012</t>
  </si>
  <si>
    <r>
      <t>Program: PO KL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"Sprawny Samorząd. Wdrażanie usprawnień w zarządzaniu jednostką samorządu terytorialnego w 10 urzędach gmin i 2 starostwach powiatowych z terenu województwa opolskiego i śląskiego"</t>
    </r>
  </si>
  <si>
    <t>Stworzenie elektronicznego obiegu dokumentów w Starostwie Powiatowym w Brzegu</t>
  </si>
  <si>
    <t>85% datacja UE, 15% - budżet Powiatu</t>
  </si>
  <si>
    <t>p. Gosia Urysz</t>
  </si>
  <si>
    <t>2007-2012</t>
  </si>
  <si>
    <r>
      <t>Program: RPO   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"E-Urząd - elektroniczna platforma usług dla mieszkańców Powiatu Brzeskiego"</t>
    </r>
  </si>
  <si>
    <t>Szczegółowe, wyczerpujące, nieodpłatne udzielanie informacji na temat możliwości uzyskania wsparcia ze środków Unii Europejskiej</t>
  </si>
  <si>
    <t>Lokalny Punkt Informacyjny realizowany z programu operacyjnego Pomoc Techniczna: 85% środków z budżetu UE, 15% środków z budżetu państwa</t>
  </si>
  <si>
    <t>Księgowa: M. Ptak       Asia Janocha LPI                     dotacja z UE  "8"                      niezgodne z budżetem</t>
  </si>
  <si>
    <t>2009-2015</t>
  </si>
  <si>
    <r>
      <t>Program: Pomoc techniczna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"Funkcjonowanie sieci Punktów Informacyjnych o Funduszach Europejskich"</t>
    </r>
  </si>
  <si>
    <t>Nadanie nowych funkcji społecznych i gospodarczych obiektowi podlegającemu rewitalizacji w tym poprawa dostępu i jakości usług turystyczno - hotelarskich</t>
  </si>
  <si>
    <r>
      <t xml:space="preserve">Dofinansowanie z UE: </t>
    </r>
    <r>
      <rPr>
        <b/>
        <sz val="13"/>
        <rFont val="Arial"/>
        <family val="2"/>
      </rPr>
      <t xml:space="preserve">747.355,99, </t>
    </r>
    <r>
      <rPr>
        <sz val="13"/>
        <rFont val="Arial"/>
        <family val="2"/>
      </rPr>
      <t xml:space="preserve">tj. </t>
    </r>
    <r>
      <rPr>
        <b/>
        <sz val="13"/>
        <rFont val="Arial"/>
        <family val="2"/>
      </rPr>
      <t>58,07%</t>
    </r>
    <r>
      <rPr>
        <sz val="13"/>
        <rFont val="Arial"/>
        <family val="2"/>
      </rPr>
      <t xml:space="preserve"> kosztów kwalifikowanych (1.286.991,54 zł), refundowanych w roku 2012 w tym: kwota </t>
    </r>
    <r>
      <rPr>
        <b/>
        <sz val="13"/>
        <rFont val="Arial"/>
        <family val="2"/>
      </rPr>
      <t xml:space="preserve">96.628,49 </t>
    </r>
    <r>
      <rPr>
        <sz val="13"/>
        <rFont val="Arial"/>
        <family val="2"/>
      </rPr>
      <t xml:space="preserve">wydatki z lat 2009-2010, kwota </t>
    </r>
    <r>
      <rPr>
        <b/>
        <sz val="13"/>
        <rFont val="Arial"/>
        <family val="2"/>
      </rPr>
      <t xml:space="preserve">302.075,48 </t>
    </r>
    <r>
      <rPr>
        <sz val="13"/>
        <rFont val="Arial"/>
        <family val="2"/>
      </rPr>
      <t xml:space="preserve">wydatki z roku 2011 i  kwota </t>
    </r>
    <r>
      <rPr>
        <b/>
        <sz val="13"/>
        <rFont val="Arial"/>
        <family val="2"/>
      </rPr>
      <t xml:space="preserve">348.652,02 </t>
    </r>
    <r>
      <rPr>
        <sz val="13"/>
        <rFont val="Arial"/>
        <family val="2"/>
      </rPr>
      <t xml:space="preserve">wydatki z roku 2012. Udział Powiatu </t>
    </r>
    <r>
      <rPr>
        <b/>
        <sz val="13"/>
        <rFont val="Arial"/>
        <family val="2"/>
      </rPr>
      <t>1.922.642</t>
    </r>
    <r>
      <rPr>
        <sz val="13"/>
        <rFont val="Arial"/>
        <family val="2"/>
      </rPr>
      <t xml:space="preserve">, tj. 41,93% kosztów kwalifikowanych tj. </t>
    </r>
    <r>
      <rPr>
        <b/>
        <sz val="13"/>
        <rFont val="Arial"/>
        <family val="2"/>
      </rPr>
      <t>539.635,55</t>
    </r>
    <r>
      <rPr>
        <sz val="13"/>
        <rFont val="Arial"/>
        <family val="2"/>
      </rPr>
      <t xml:space="preserve"> plus koszty niekwalifikowane </t>
    </r>
    <r>
      <rPr>
        <b/>
        <sz val="13"/>
        <rFont val="Arial"/>
        <family val="2"/>
      </rPr>
      <t xml:space="preserve">1.383.006,45 </t>
    </r>
  </si>
  <si>
    <t xml:space="preserve">p. Ewa Warzecha </t>
  </si>
  <si>
    <t>Zarząd Dróg Powiatowych                  w Brzegu</t>
  </si>
  <si>
    <r>
      <t>Program: RPO WO 2007-20013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"Rewitalizacja budynku byłego internatu Zespołu Szkół Ekonomicznych przy ul. Wyszyńskiego 23 w Brzegu na funkcje turystyczne"</t>
    </r>
  </si>
  <si>
    <t>A</t>
  </si>
  <si>
    <t>programy, projekty lub zadania związane z programami realizowanymi z udziałem środków, o których mowa w art. 5 ust. 1 pkt 2 i 3 (razem)</t>
  </si>
  <si>
    <t>a)</t>
  </si>
  <si>
    <t>1)</t>
  </si>
  <si>
    <t>programy, projekty lub zadania (razem)</t>
  </si>
  <si>
    <t>Przedsięwzięcia ogółem</t>
  </si>
  <si>
    <t>budżet państwa</t>
  </si>
  <si>
    <t>budżet  UE</t>
  </si>
  <si>
    <t>majątkowe</t>
  </si>
  <si>
    <t>bieżące</t>
  </si>
  <si>
    <t>∑</t>
  </si>
  <si>
    <t>łączne nakłady - limit wydatków + poniesione nakłady</t>
  </si>
  <si>
    <t>UWAGI</t>
  </si>
  <si>
    <t>Dochody 2012</t>
  </si>
  <si>
    <t>Udział %</t>
  </si>
  <si>
    <t>Poniesione nakłady</t>
  </si>
  <si>
    <t xml:space="preserve">Wartości informacyjne </t>
  </si>
  <si>
    <t xml:space="preserve">Limit zobowiązań </t>
  </si>
  <si>
    <t>Nakłady w poszczególnych latach / Limit zobowiązań</t>
  </si>
  <si>
    <t>Łączne nakłady finansowe</t>
  </si>
  <si>
    <t>Jednostka organizacyjna odpowiedzialna za realizację lub koordynująca wykonywanie przedsięwzięcia</t>
  </si>
  <si>
    <t>Dział/ Rozdział</t>
  </si>
  <si>
    <t>Okres realizacji</t>
  </si>
  <si>
    <t>Nazwa i cel przedsięwzięcia</t>
  </si>
  <si>
    <t>Lp.</t>
  </si>
  <si>
    <t>Wykaz przedsięwzięć do WPF na lata 2012 - 2016</t>
  </si>
  <si>
    <t>Rady Powiatu Brzeskiego</t>
  </si>
  <si>
    <t>Załącznik nr 2</t>
  </si>
  <si>
    <r>
      <rPr>
        <b/>
        <sz val="13"/>
        <rFont val="Arial"/>
        <family val="2"/>
      </rPr>
      <t xml:space="preserve">89,50%: budżet UE i środki krajowe, 10,5%: udział własny, w tym: 3,56% udział budżetu Powiatu.                                              </t>
    </r>
    <r>
      <rPr>
        <sz val="13"/>
        <rFont val="Arial"/>
        <family val="2"/>
      </rPr>
      <t xml:space="preserve">Planowane nakłady finansowe na rok 2012 wynoszą </t>
    </r>
    <r>
      <rPr>
        <b/>
        <sz val="13"/>
        <rFont val="Arial"/>
        <family val="2"/>
      </rPr>
      <t xml:space="preserve">498.045,81 </t>
    </r>
    <r>
      <rPr>
        <sz val="13"/>
        <rFont val="Arial"/>
        <family val="2"/>
      </rPr>
      <t xml:space="preserve">(35.829,81 dofinansowanie z PFRON – </t>
    </r>
    <r>
      <rPr>
        <u val="single"/>
        <sz val="13"/>
        <rFont val="Arial"/>
        <family val="2"/>
      </rPr>
      <t>środki pozabudżetowe</t>
    </r>
    <r>
      <rPr>
        <sz val="13"/>
        <rFont val="Arial"/>
        <family val="2"/>
      </rPr>
      <t xml:space="preserve">)
Dotacja z budżetu UE:         423.339
Dotacja z budżetu państwa:    22.412
Dotacja z budżetu powiatu:     16.465
498.045,81 - środki poza budż. 35.829.81 = </t>
    </r>
    <r>
      <rPr>
        <b/>
        <sz val="13"/>
        <rFont val="Arial"/>
        <family val="2"/>
      </rPr>
      <t>462.216 zł</t>
    </r>
  </si>
  <si>
    <r>
      <t xml:space="preserve">Program Operacyjny Kapitał Ludzki: podział procentowy zadania: </t>
    </r>
    <r>
      <rPr>
        <b/>
        <sz val="13"/>
        <rFont val="Arial"/>
        <family val="2"/>
      </rPr>
      <t>85%</t>
    </r>
    <r>
      <rPr>
        <sz val="13"/>
        <rFont val="Arial"/>
        <family val="2"/>
      </rPr>
      <t xml:space="preserve"> dofinansowanie ze środków EFS i </t>
    </r>
    <r>
      <rPr>
        <b/>
        <sz val="13"/>
        <rFont val="Arial"/>
        <family val="2"/>
      </rPr>
      <t>15%</t>
    </r>
    <r>
      <rPr>
        <sz val="13"/>
        <rFont val="Arial"/>
        <family val="2"/>
      </rPr>
      <t xml:space="preserve"> wkład własny. W 2011r. do wydatkowano </t>
    </r>
    <r>
      <rPr>
        <b/>
        <sz val="13"/>
        <rFont val="Arial"/>
        <family val="2"/>
      </rPr>
      <t xml:space="preserve">181.834 zł </t>
    </r>
    <r>
      <rPr>
        <sz val="13"/>
        <rFont val="Arial"/>
        <family val="2"/>
      </rPr>
      <t xml:space="preserve">dofinansowanie w wysokości </t>
    </r>
    <r>
      <rPr>
        <b/>
        <sz val="13"/>
        <rFont val="Arial"/>
        <family val="2"/>
      </rPr>
      <t>154.559 zł</t>
    </r>
    <r>
      <rPr>
        <sz val="13"/>
        <rFont val="Arial"/>
        <family val="2"/>
      </rPr>
      <t xml:space="preserve"> i wkład własny</t>
    </r>
    <r>
      <rPr>
        <b/>
        <sz val="13"/>
        <rFont val="Arial"/>
        <family val="2"/>
      </rPr>
      <t xml:space="preserve"> 27.275 zł.</t>
    </r>
    <r>
      <rPr>
        <sz val="13"/>
        <rFont val="Arial"/>
        <family val="2"/>
      </rPr>
      <t xml:space="preserve"> W 2012r.  do realizacji </t>
    </r>
    <r>
      <rPr>
        <b/>
        <sz val="13"/>
        <rFont val="Arial"/>
        <family val="2"/>
      </rPr>
      <t>446.096 zł:</t>
    </r>
    <r>
      <rPr>
        <sz val="13"/>
        <rFont val="Arial"/>
        <family val="2"/>
      </rPr>
      <t xml:space="preserve"> dofinansowanie </t>
    </r>
    <r>
      <rPr>
        <b/>
        <sz val="13"/>
        <rFont val="Arial"/>
        <family val="2"/>
      </rPr>
      <t>379.181 zł</t>
    </r>
    <r>
      <rPr>
        <sz val="13"/>
        <rFont val="Arial"/>
        <family val="2"/>
      </rPr>
      <t xml:space="preserve"> i wkład własny </t>
    </r>
    <r>
      <rPr>
        <b/>
        <sz val="13"/>
        <rFont val="Arial"/>
        <family val="2"/>
      </rPr>
      <t>66.915 zł.</t>
    </r>
  </si>
  <si>
    <r>
      <t xml:space="preserve">Zgodnie z aneksem nr 3 do Umowy Partnerskiej Nr RU.BSI-0812-33-71/2009: "Partner udziela Liderowi Projektu dotacji, na pokrycie 15% kosztów kwalifikowalnych udziału własnego w trealizacji projektu "Opolska e-Szkoła, szkoła ku przysżłości" w latach 2010-2012, w wysokości </t>
    </r>
    <r>
      <rPr>
        <b/>
        <sz val="13"/>
        <rFont val="Arial"/>
        <family val="2"/>
      </rPr>
      <t xml:space="preserve">299.957,88 zł" . 2010- </t>
    </r>
    <r>
      <rPr>
        <sz val="13"/>
        <rFont val="Arial"/>
        <family val="2"/>
      </rPr>
      <t>brak płatności,</t>
    </r>
    <r>
      <rPr>
        <b/>
        <sz val="13"/>
        <rFont val="Arial"/>
        <family val="2"/>
      </rPr>
      <t xml:space="preserve"> 2011</t>
    </r>
    <r>
      <rPr>
        <sz val="13"/>
        <rFont val="Arial"/>
        <family val="2"/>
      </rPr>
      <t>-</t>
    </r>
    <r>
      <rPr>
        <b/>
        <sz val="13"/>
        <rFont val="Arial"/>
        <family val="2"/>
      </rPr>
      <t xml:space="preserve"> 294.734,32 zł</t>
    </r>
    <r>
      <rPr>
        <sz val="13"/>
        <rFont val="Arial"/>
        <family val="2"/>
      </rPr>
      <t>,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płatne na podstawie pisemnej informacji WODIiP po otrzymaniu fakturywraz z wyliczonym udziałem Partnera, </t>
    </r>
    <r>
      <rPr>
        <b/>
        <sz val="13"/>
        <rFont val="Arial"/>
        <family val="2"/>
      </rPr>
      <t xml:space="preserve">2012- 5.223,56 zł </t>
    </r>
    <r>
      <rPr>
        <sz val="13"/>
        <rFont val="Arial"/>
        <family val="2"/>
      </rPr>
      <t>płatne na podstawie pisemnej informacji WODIiP po otzymaniu fakturywraz z wyliczonym udziałem Partnera,</t>
    </r>
    <r>
      <rPr>
        <b/>
        <sz val="13"/>
        <rFont val="Arial"/>
        <family val="2"/>
      </rPr>
      <t xml:space="preserve">                                      </t>
    </r>
    <r>
      <rPr>
        <sz val="13"/>
        <color indexed="17"/>
        <rFont val="Arial"/>
        <family val="2"/>
      </rPr>
      <t>wydatki w § 233</t>
    </r>
    <r>
      <rPr>
        <b/>
        <sz val="13"/>
        <color indexed="17"/>
        <rFont val="Arial"/>
        <family val="2"/>
      </rPr>
      <t>9</t>
    </r>
  </si>
  <si>
    <r>
      <t xml:space="preserve">Program Operacyjny Kapitał Ludzki: podział procentowy zadania: </t>
    </r>
    <r>
      <rPr>
        <b/>
        <sz val="13"/>
        <rFont val="Arial"/>
        <family val="2"/>
      </rPr>
      <t>85%</t>
    </r>
    <r>
      <rPr>
        <sz val="13"/>
        <rFont val="Arial"/>
        <family val="2"/>
      </rPr>
      <t xml:space="preserve"> dofinansowanie ye đrodkw EFS i </t>
    </r>
    <r>
      <rPr>
        <b/>
        <sz val="13"/>
        <rFont val="Arial"/>
        <family val="2"/>
      </rPr>
      <t xml:space="preserve">15% </t>
    </r>
    <r>
      <rPr>
        <sz val="13"/>
        <rFont val="Arial"/>
        <family val="2"/>
      </rPr>
      <t xml:space="preserve">wkad wasnz. W 2011 r. do realizacji </t>
    </r>
    <r>
      <rPr>
        <b/>
        <sz val="13"/>
        <rFont val="Arial"/>
        <family val="2"/>
      </rPr>
      <t>150.832 zł</t>
    </r>
    <r>
      <rPr>
        <sz val="13"/>
        <rFont val="Arial"/>
        <family val="2"/>
      </rPr>
      <t xml:space="preserve"> dofinansowanie w wysokości </t>
    </r>
    <r>
      <rPr>
        <b/>
        <sz val="13"/>
        <rFont val="Arial"/>
        <family val="2"/>
      </rPr>
      <t xml:space="preserve">128.207 zł </t>
    </r>
    <r>
      <rPr>
        <sz val="13"/>
        <rFont val="Arial"/>
        <family val="2"/>
      </rPr>
      <t>wkład własny</t>
    </r>
    <r>
      <rPr>
        <b/>
        <sz val="13"/>
        <rFont val="Arial"/>
        <family val="2"/>
      </rPr>
      <t xml:space="preserve">22.625 zł. </t>
    </r>
    <r>
      <rPr>
        <sz val="13"/>
        <rFont val="Arial"/>
        <family val="2"/>
      </rPr>
      <t xml:space="preserve">W 2012 r. do realizacji </t>
    </r>
    <r>
      <rPr>
        <b/>
        <sz val="13"/>
        <rFont val="Arial"/>
        <family val="2"/>
      </rPr>
      <t>41.393 zł</t>
    </r>
    <r>
      <rPr>
        <sz val="13"/>
        <rFont val="Arial"/>
        <family val="2"/>
      </rPr>
      <t xml:space="preserve">: dofinansowanie </t>
    </r>
    <r>
      <rPr>
        <b/>
        <sz val="13"/>
        <rFont val="Arial"/>
        <family val="2"/>
      </rPr>
      <t>35.184 zł</t>
    </r>
    <r>
      <rPr>
        <sz val="13"/>
        <rFont val="Arial"/>
        <family val="2"/>
      </rPr>
      <t xml:space="preserve"> i wkład własny </t>
    </r>
    <r>
      <rPr>
        <b/>
        <sz val="13"/>
        <rFont val="Arial"/>
        <family val="2"/>
      </rPr>
      <t>6.209 zł.</t>
    </r>
    <r>
      <rPr>
        <b/>
        <sz val="13"/>
        <color indexed="10"/>
        <rFont val="Arial"/>
        <family val="2"/>
      </rPr>
      <t xml:space="preserve"> Doprowadzone do godności z absolutorium za rok 2011 różnica między rozdziałami o kwotę 500 zł. </t>
    </r>
  </si>
  <si>
    <r>
      <t>85% środki UE, 15% - środki budżet państwa</t>
    </r>
    <r>
      <rPr>
        <b/>
        <sz val="13"/>
        <color indexed="10"/>
        <rFont val="Arial"/>
        <family val="2"/>
      </rPr>
      <t xml:space="preserve"> Doprowadzone do godności z absolutorium za rok 2011 różnica między rozdziałami o kwotę 500 zł. </t>
    </r>
  </si>
  <si>
    <r>
      <t xml:space="preserve">Projekt realizowany w ramach RPO WO 2007-2013. Działanie 2.2. Moduły informacyjne e-usług i bazy danych. Dotacje </t>
    </r>
    <r>
      <rPr>
        <b/>
        <sz val="13"/>
        <rFont val="Arial"/>
        <family val="2"/>
      </rPr>
      <t>UE-85%, tj. 1.360.000 zł.</t>
    </r>
    <r>
      <rPr>
        <sz val="13"/>
        <rFont val="Arial"/>
        <family val="2"/>
      </rPr>
      <t xml:space="preserve"> Udział budżetu Powiatu -</t>
    </r>
    <r>
      <rPr>
        <b/>
        <sz val="13"/>
        <rFont val="Arial"/>
        <family val="2"/>
      </rPr>
      <t>15%, tj. 240.000 zł.</t>
    </r>
  </si>
  <si>
    <t>p. Gosia Ptak/ p. Kasia Niemiec</t>
  </si>
  <si>
    <t>Poprawa jakości usług medycznych świdczonych przez szpital poprzez wykorzystanie nowych technologii informacyjnych i komunikacyjnych, rozwój e-usług</t>
  </si>
  <si>
    <t>od- 09.2011                   p. Kasia Niemiec</t>
  </si>
  <si>
    <r>
      <t>85% - UE, 15%- środki krajowe, tj. 100% całkowitych wydatków kwalifikowalnych projektu. Dofinansowanie projektu 85% w kwocie 463.913</t>
    </r>
    <r>
      <rPr>
        <b/>
        <sz val="13"/>
        <rFont val="Arial"/>
        <family val="2"/>
      </rPr>
      <t xml:space="preserve"> zł</t>
    </r>
    <r>
      <rPr>
        <sz val="13"/>
        <rFont val="Arial"/>
        <family val="2"/>
      </rPr>
      <t>, wkład krajowy 15% w kwocie 81.867</t>
    </r>
    <r>
      <rPr>
        <b/>
        <sz val="13"/>
        <rFont val="Arial"/>
        <family val="2"/>
      </rPr>
      <t xml:space="preserve"> zł. </t>
    </r>
  </si>
  <si>
    <r>
      <t>Program: RPO WO 2007-2013                                                                                                                           Projekt pn.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"E-szpital - stworzenie cyfrowego systemu informacji telemedycznej, gromadzenia, przetwarzania, archiwizacji danych dla Brzeskiego Centrum Medycznego w Brzegu" </t>
    </r>
  </si>
  <si>
    <t>do uchwały nr XXIV/167/12</t>
  </si>
  <si>
    <t>z dnia 12 października 2012r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</si>
</sst>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3"/>
      <color indexed="10"/>
      <name val="Arial"/>
      <family val="2"/>
    </font>
    <font>
      <i/>
      <sz val="13"/>
      <color indexed="10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u val="single"/>
      <sz val="13"/>
      <name val="Arial"/>
      <family val="2"/>
    </font>
    <font>
      <b/>
      <sz val="13"/>
      <color indexed="8"/>
      <name val="Arial"/>
      <family val="2"/>
    </font>
    <font>
      <sz val="13"/>
      <color indexed="6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3"/>
      <color indexed="60"/>
      <name val="Arial"/>
      <family val="2"/>
    </font>
    <font>
      <sz val="13"/>
      <color indexed="17"/>
      <name val="Arial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dashDot"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dashDot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 style="medium"/>
      <right style="dashDot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dashDot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dashDot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dashDotDot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/>
      <top style="thin"/>
      <bottom style="thin"/>
    </border>
    <border>
      <left/>
      <right style="dashDotDot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double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dashDot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ashDotDot"/>
      <top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dashDotDot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double"/>
      <right style="medium"/>
      <top style="medium"/>
      <bottom/>
    </border>
    <border>
      <left style="medium"/>
      <right/>
      <top style="medium"/>
      <bottom/>
    </border>
    <border>
      <left/>
      <right style="dashDotDot"/>
      <top style="medium"/>
      <bottom/>
    </border>
    <border>
      <left style="thin"/>
      <right style="medium"/>
      <top style="medium"/>
      <bottom/>
    </border>
    <border>
      <left/>
      <right style="dashDotDot"/>
      <top/>
      <bottom/>
    </border>
    <border>
      <left/>
      <right style="medium"/>
      <top style="thin"/>
      <bottom style="medium"/>
    </border>
    <border>
      <left style="medium"/>
      <right style="dashDotDot"/>
      <top style="thin"/>
      <bottom style="medium"/>
    </border>
    <border>
      <left style="medium"/>
      <right style="dashDotDot"/>
      <top style="thin"/>
      <bottom style="thin"/>
    </border>
    <border>
      <left style="double"/>
      <right style="medium"/>
      <top/>
      <bottom style="thin"/>
    </border>
    <border>
      <left/>
      <right style="dashDotDot"/>
      <top/>
      <bottom style="thin"/>
    </border>
    <border>
      <left/>
      <right style="medium"/>
      <top style="medium"/>
      <bottom style="thin"/>
    </border>
    <border>
      <left style="medium"/>
      <right style="dashDotDot"/>
      <top style="medium"/>
      <bottom style="thin"/>
    </border>
    <border>
      <left/>
      <right style="double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thin"/>
    </border>
    <border>
      <left style="thin"/>
      <right style="medium"/>
      <top style="thin"/>
      <bottom/>
    </border>
    <border>
      <left style="double"/>
      <right style="medium"/>
      <top style="thin"/>
      <bottom style="dashDotDot"/>
    </border>
    <border>
      <left style="medium"/>
      <right/>
      <top style="thin"/>
      <bottom style="dashDotDot"/>
    </border>
    <border>
      <left/>
      <right/>
      <top style="thin"/>
      <bottom style="dashDotDot"/>
    </border>
    <border>
      <left style="medium"/>
      <right style="medium"/>
      <top style="thin"/>
      <bottom style="dashDotDot"/>
    </border>
    <border>
      <left/>
      <right style="thin"/>
      <top style="thin"/>
      <bottom style="dashDotDot"/>
    </border>
    <border>
      <left style="medium"/>
      <right style="thin"/>
      <top style="thin"/>
      <bottom style="dashDot"/>
    </border>
    <border>
      <left style="medium"/>
      <right/>
      <top style="thin"/>
      <bottom style="dashDot"/>
    </border>
    <border>
      <left/>
      <right/>
      <top style="thin"/>
      <bottom style="dashDot"/>
    </border>
    <border>
      <left style="medium"/>
      <right style="medium"/>
      <top style="thin"/>
      <bottom style="dashDot"/>
    </border>
    <border>
      <left/>
      <right style="dashDotDot"/>
      <top style="thin"/>
      <bottom style="dashDot"/>
    </border>
    <border>
      <left style="medium"/>
      <right style="medium"/>
      <top/>
      <bottom style="dashDot"/>
    </border>
    <border>
      <left/>
      <right style="medium"/>
      <top style="medium"/>
      <bottom/>
    </border>
    <border>
      <left/>
      <right style="dashDot"/>
      <top style="thin"/>
      <bottom style="medium"/>
    </border>
    <border>
      <left style="thin"/>
      <right style="dashDot"/>
      <top style="thin"/>
      <bottom style="medium"/>
    </border>
    <border>
      <left style="thin"/>
      <right style="dashDot"/>
      <top style="thin"/>
      <bottom style="thin"/>
    </border>
    <border>
      <left style="thin"/>
      <right style="double"/>
      <top style="medium"/>
      <bottom style="thin"/>
    </border>
    <border>
      <left style="thin"/>
      <right style="dashDot"/>
      <top style="medium"/>
      <bottom style="thin"/>
    </border>
    <border>
      <left/>
      <right style="medium"/>
      <top style="thin"/>
      <bottom/>
    </border>
    <border>
      <left style="medium"/>
      <right style="double"/>
      <top style="medium"/>
      <bottom style="thin"/>
    </border>
    <border>
      <left style="double"/>
      <right style="medium"/>
      <top/>
      <bottom/>
    </border>
    <border>
      <left/>
      <right style="medium"/>
      <top/>
      <bottom style="thin"/>
    </border>
    <border>
      <left style="double"/>
      <right style="medium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dashDotDot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/>
      <right style="dashDot"/>
      <top style="thin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/>
      <right style="double"/>
      <top/>
      <bottom/>
    </border>
    <border>
      <left/>
      <right style="dashDot"/>
      <top style="medium"/>
      <bottom/>
    </border>
    <border>
      <left/>
      <right style="dashDot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medium"/>
      <right style="double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9" fontId="25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30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8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3" fontId="5" fillId="32" borderId="11" xfId="0" applyNumberFormat="1" applyFont="1" applyFill="1" applyBorder="1" applyAlignment="1">
      <alignment/>
    </xf>
    <xf numFmtId="3" fontId="6" fillId="32" borderId="13" xfId="0" applyNumberFormat="1" applyFont="1" applyFill="1" applyBorder="1" applyAlignment="1">
      <alignment/>
    </xf>
    <xf numFmtId="3" fontId="6" fillId="32" borderId="14" xfId="0" applyNumberFormat="1" applyFont="1" applyFill="1" applyBorder="1" applyAlignment="1">
      <alignment/>
    </xf>
    <xf numFmtId="0" fontId="6" fillId="32" borderId="14" xfId="0" applyFont="1" applyFill="1" applyBorder="1" applyAlignment="1">
      <alignment horizontal="center"/>
    </xf>
    <xf numFmtId="3" fontId="6" fillId="32" borderId="0" xfId="0" applyNumberFormat="1" applyFont="1" applyFill="1" applyBorder="1" applyAlignment="1">
      <alignment/>
    </xf>
    <xf numFmtId="3" fontId="6" fillId="32" borderId="15" xfId="0" applyNumberFormat="1" applyFont="1" applyFill="1" applyBorder="1" applyAlignment="1">
      <alignment/>
    </xf>
    <xf numFmtId="0" fontId="6" fillId="32" borderId="15" xfId="0" applyFont="1" applyFill="1" applyBorder="1" applyAlignment="1">
      <alignment horizontal="center"/>
    </xf>
    <xf numFmtId="3" fontId="5" fillId="32" borderId="16" xfId="0" applyNumberFormat="1" applyFont="1" applyFill="1" applyBorder="1" applyAlignment="1">
      <alignment/>
    </xf>
    <xf numFmtId="3" fontId="5" fillId="32" borderId="17" xfId="0" applyNumberFormat="1" applyFont="1" applyFill="1" applyBorder="1" applyAlignment="1">
      <alignment/>
    </xf>
    <xf numFmtId="0" fontId="5" fillId="32" borderId="17" xfId="0" applyFont="1" applyFill="1" applyBorder="1" applyAlignment="1">
      <alignment horizontal="center"/>
    </xf>
    <xf numFmtId="3" fontId="5" fillId="32" borderId="12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/>
    </xf>
    <xf numFmtId="49" fontId="10" fillId="0" borderId="21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5" fillId="5" borderId="17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right" vertical="center"/>
    </xf>
    <xf numFmtId="3" fontId="6" fillId="5" borderId="24" xfId="0" applyNumberFormat="1" applyFont="1" applyFill="1" applyBorder="1" applyAlignment="1">
      <alignment horizontal="right" vertical="center"/>
    </xf>
    <xf numFmtId="3" fontId="5" fillId="5" borderId="31" xfId="0" applyNumberFormat="1" applyFont="1" applyFill="1" applyBorder="1" applyAlignment="1">
      <alignment horizontal="right" vertical="center"/>
    </xf>
    <xf numFmtId="0" fontId="5" fillId="5" borderId="32" xfId="0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/>
    </xf>
    <xf numFmtId="49" fontId="6" fillId="0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3" fontId="5" fillId="5" borderId="38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vertical="center" wrapText="1"/>
    </xf>
    <xf numFmtId="3" fontId="5" fillId="5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3" fontId="6" fillId="5" borderId="41" xfId="0" applyNumberFormat="1" applyFont="1" applyFill="1" applyBorder="1" applyAlignment="1">
      <alignment horizontal="right" vertical="center"/>
    </xf>
    <xf numFmtId="3" fontId="6" fillId="5" borderId="42" xfId="0" applyNumberFormat="1" applyFont="1" applyFill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0" fontId="5" fillId="5" borderId="4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2" borderId="41" xfId="0" applyNumberFormat="1" applyFont="1" applyFill="1" applyBorder="1" applyAlignment="1">
      <alignment horizontal="right" vertical="center"/>
    </xf>
    <xf numFmtId="3" fontId="5" fillId="2" borderId="42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3" fontId="9" fillId="0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right" vertical="center"/>
    </xf>
    <xf numFmtId="3" fontId="6" fillId="0" borderId="49" xfId="0" applyNumberFormat="1" applyFont="1" applyFill="1" applyBorder="1" applyAlignment="1">
      <alignment horizontal="right" vertical="center"/>
    </xf>
    <xf numFmtId="3" fontId="6" fillId="0" borderId="50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49" fontId="6" fillId="0" borderId="49" xfId="0" applyNumberFormat="1" applyFont="1" applyFill="1" applyBorder="1" applyAlignment="1">
      <alignment vertical="center" wrapText="1"/>
    </xf>
    <xf numFmtId="3" fontId="9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3" fontId="6" fillId="0" borderId="56" xfId="0" applyNumberFormat="1" applyFont="1" applyFill="1" applyBorder="1" applyAlignment="1">
      <alignment horizontal="right" vertical="center"/>
    </xf>
    <xf numFmtId="3" fontId="5" fillId="33" borderId="34" xfId="0" applyNumberFormat="1" applyFont="1" applyFill="1" applyBorder="1" applyAlignment="1">
      <alignment horizontal="right" vertical="center"/>
    </xf>
    <xf numFmtId="49" fontId="6" fillId="0" borderId="55" xfId="0" applyNumberFormat="1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6" fillId="0" borderId="59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right" vertical="center"/>
    </xf>
    <xf numFmtId="3" fontId="6" fillId="0" borderId="61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right" vertical="center"/>
    </xf>
    <xf numFmtId="3" fontId="6" fillId="0" borderId="6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6" fillId="0" borderId="64" xfId="0" applyNumberFormat="1" applyFont="1" applyFill="1" applyBorder="1" applyAlignment="1">
      <alignment horizontal="right" vertical="center"/>
    </xf>
    <xf numFmtId="3" fontId="6" fillId="0" borderId="65" xfId="0" applyNumberFormat="1" applyFont="1" applyFill="1" applyBorder="1" applyAlignment="1">
      <alignment horizontal="right" vertical="center"/>
    </xf>
    <xf numFmtId="3" fontId="6" fillId="0" borderId="66" xfId="0" applyNumberFormat="1" applyFont="1" applyFill="1" applyBorder="1" applyAlignment="1">
      <alignment horizontal="right" vertical="center"/>
    </xf>
    <xf numFmtId="3" fontId="5" fillId="33" borderId="44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vertical="center" wrapText="1"/>
    </xf>
    <xf numFmtId="3" fontId="6" fillId="0" borderId="67" xfId="0" applyNumberFormat="1" applyFont="1" applyFill="1" applyBorder="1" applyAlignment="1">
      <alignment horizontal="right" vertical="center"/>
    </xf>
    <xf numFmtId="49" fontId="6" fillId="0" borderId="40" xfId="0" applyNumberFormat="1" applyFont="1" applyFill="1" applyBorder="1" applyAlignment="1">
      <alignment vertical="center" wrapText="1"/>
    </xf>
    <xf numFmtId="0" fontId="6" fillId="0" borderId="68" xfId="0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horizontal="right" vertical="center"/>
    </xf>
    <xf numFmtId="49" fontId="6" fillId="0" borderId="61" xfId="0" applyNumberFormat="1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vertical="center"/>
    </xf>
    <xf numFmtId="0" fontId="6" fillId="32" borderId="51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71" xfId="0" applyNumberFormat="1" applyFont="1" applyFill="1" applyBorder="1" applyAlignment="1">
      <alignment horizontal="center" vertical="center"/>
    </xf>
    <xf numFmtId="3" fontId="6" fillId="0" borderId="72" xfId="0" applyNumberFormat="1" applyFont="1" applyFill="1" applyBorder="1" applyAlignment="1">
      <alignment horizontal="center" vertical="center"/>
    </xf>
    <xf numFmtId="0" fontId="6" fillId="32" borderId="73" xfId="0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right" vertical="center"/>
    </xf>
    <xf numFmtId="3" fontId="6" fillId="0" borderId="75" xfId="0" applyNumberFormat="1" applyFont="1" applyFill="1" applyBorder="1" applyAlignment="1">
      <alignment horizontal="right" vertical="center"/>
    </xf>
    <xf numFmtId="3" fontId="6" fillId="0" borderId="73" xfId="0" applyNumberFormat="1" applyFont="1" applyFill="1" applyBorder="1" applyAlignment="1">
      <alignment horizontal="right" vertical="center"/>
    </xf>
    <xf numFmtId="3" fontId="6" fillId="0" borderId="76" xfId="0" applyNumberFormat="1" applyFont="1" applyFill="1" applyBorder="1" applyAlignment="1">
      <alignment horizontal="right" vertical="center"/>
    </xf>
    <xf numFmtId="3" fontId="5" fillId="33" borderId="73" xfId="0" applyNumberFormat="1" applyFont="1" applyFill="1" applyBorder="1" applyAlignment="1">
      <alignment horizontal="right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6" fillId="32" borderId="51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2" fillId="32" borderId="44" xfId="0" applyFont="1" applyFill="1" applyBorder="1" applyAlignment="1">
      <alignment vertical="center"/>
    </xf>
    <xf numFmtId="0" fontId="2" fillId="32" borderId="51" xfId="0" applyFont="1" applyFill="1" applyBorder="1" applyAlignment="1">
      <alignment vertical="center"/>
    </xf>
    <xf numFmtId="0" fontId="6" fillId="32" borderId="51" xfId="0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3" fontId="6" fillId="0" borderId="78" xfId="0" applyNumberFormat="1" applyFont="1" applyBorder="1" applyAlignment="1">
      <alignment horizontal="right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79" xfId="0" applyNumberFormat="1" applyFont="1" applyFill="1" applyBorder="1" applyAlignment="1">
      <alignment horizontal="right" vertical="center"/>
    </xf>
    <xf numFmtId="3" fontId="5" fillId="0" borderId="80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5" borderId="82" xfId="0" applyNumberFormat="1" applyFont="1" applyFill="1" applyBorder="1" applyAlignment="1">
      <alignment horizontal="right" vertical="center"/>
    </xf>
    <xf numFmtId="3" fontId="5" fillId="5" borderId="83" xfId="0" applyNumberFormat="1" applyFont="1" applyFill="1" applyBorder="1" applyAlignment="1">
      <alignment horizontal="right" vertical="center"/>
    </xf>
    <xf numFmtId="3" fontId="5" fillId="5" borderId="23" xfId="0" applyNumberFormat="1" applyFont="1" applyFill="1" applyBorder="1" applyAlignment="1">
      <alignment horizontal="right" vertical="center"/>
    </xf>
    <xf numFmtId="3" fontId="5" fillId="5" borderId="84" xfId="0" applyNumberFormat="1" applyFont="1" applyFill="1" applyBorder="1" applyAlignment="1">
      <alignment horizontal="right" vertical="center"/>
    </xf>
    <xf numFmtId="3" fontId="5" fillId="5" borderId="85" xfId="0" applyNumberFormat="1" applyFont="1" applyFill="1" applyBorder="1" applyAlignment="1">
      <alignment horizontal="right" vertical="center"/>
    </xf>
    <xf numFmtId="3" fontId="5" fillId="5" borderId="4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6" fillId="0" borderId="86" xfId="0" applyNumberFormat="1" applyFont="1" applyFill="1" applyBorder="1" applyAlignment="1">
      <alignment horizontal="right" vertical="center"/>
    </xf>
    <xf numFmtId="3" fontId="6" fillId="0" borderId="87" xfId="0" applyNumberFormat="1" applyFont="1" applyFill="1" applyBorder="1" applyAlignment="1">
      <alignment horizontal="right" vertical="center"/>
    </xf>
    <xf numFmtId="3" fontId="6" fillId="0" borderId="88" xfId="0" applyNumberFormat="1" applyFont="1" applyFill="1" applyBorder="1" applyAlignment="1">
      <alignment horizontal="right" vertical="center"/>
    </xf>
    <xf numFmtId="0" fontId="6" fillId="0" borderId="32" xfId="0" applyNumberFormat="1" applyFont="1" applyFill="1" applyBorder="1" applyAlignment="1">
      <alignment vertical="center" wrapText="1"/>
    </xf>
    <xf numFmtId="3" fontId="6" fillId="0" borderId="89" xfId="0" applyNumberFormat="1" applyFont="1" applyFill="1" applyBorder="1" applyAlignment="1">
      <alignment horizontal="center"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left" vertical="center" wrapText="1"/>
    </xf>
    <xf numFmtId="49" fontId="10" fillId="0" borderId="55" xfId="0" applyNumberFormat="1" applyFont="1" applyFill="1" applyBorder="1" applyAlignment="1">
      <alignment horizontal="left" vertical="center" wrapText="1"/>
    </xf>
    <xf numFmtId="3" fontId="5" fillId="0" borderId="82" xfId="0" applyNumberFormat="1" applyFont="1" applyFill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83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49" fontId="10" fillId="0" borderId="43" xfId="0" applyNumberFormat="1" applyFont="1" applyFill="1" applyBorder="1" applyAlignment="1">
      <alignment horizontal="left" vertical="center" wrapText="1"/>
    </xf>
    <xf numFmtId="3" fontId="5" fillId="0" borderId="90" xfId="0" applyNumberFormat="1" applyFont="1" applyFill="1" applyBorder="1" applyAlignment="1">
      <alignment horizontal="right" vertical="center"/>
    </xf>
    <xf numFmtId="3" fontId="6" fillId="0" borderId="91" xfId="0" applyNumberFormat="1" applyFont="1" applyFill="1" applyBorder="1" applyAlignment="1">
      <alignment horizontal="right" vertical="center"/>
    </xf>
    <xf numFmtId="3" fontId="6" fillId="0" borderId="92" xfId="0" applyNumberFormat="1" applyFont="1" applyFill="1" applyBorder="1" applyAlignment="1">
      <alignment horizontal="right" vertical="center"/>
    </xf>
    <xf numFmtId="3" fontId="6" fillId="0" borderId="93" xfId="0" applyNumberFormat="1" applyFont="1" applyFill="1" applyBorder="1" applyAlignment="1">
      <alignment horizontal="right" vertical="center"/>
    </xf>
    <xf numFmtId="3" fontId="6" fillId="0" borderId="94" xfId="0" applyNumberFormat="1" applyFont="1" applyFill="1" applyBorder="1" applyAlignment="1">
      <alignment horizontal="right" vertical="center"/>
    </xf>
    <xf numFmtId="3" fontId="5" fillId="33" borderId="93" xfId="0" applyNumberFormat="1" applyFont="1" applyFill="1" applyBorder="1" applyAlignment="1">
      <alignment horizontal="right" vertical="center"/>
    </xf>
    <xf numFmtId="49" fontId="6" fillId="0" borderId="95" xfId="0" applyNumberFormat="1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3" fontId="9" fillId="0" borderId="68" xfId="0" applyNumberFormat="1" applyFont="1" applyFill="1" applyBorder="1" applyAlignment="1">
      <alignment horizontal="center" vertical="center"/>
    </xf>
    <xf numFmtId="3" fontId="6" fillId="0" borderId="96" xfId="0" applyNumberFormat="1" applyFont="1" applyFill="1" applyBorder="1" applyAlignment="1">
      <alignment horizontal="right" vertical="center"/>
    </xf>
    <xf numFmtId="3" fontId="6" fillId="0" borderId="97" xfId="0" applyNumberFormat="1" applyFont="1" applyFill="1" applyBorder="1" applyAlignment="1">
      <alignment horizontal="right" vertical="center"/>
    </xf>
    <xf numFmtId="3" fontId="6" fillId="0" borderId="98" xfId="0" applyNumberFormat="1" applyFont="1" applyFill="1" applyBorder="1" applyAlignment="1">
      <alignment horizontal="right" vertical="center"/>
    </xf>
    <xf numFmtId="3" fontId="6" fillId="0" borderId="99" xfId="0" applyNumberFormat="1" applyFont="1" applyFill="1" applyBorder="1" applyAlignment="1">
      <alignment horizontal="right" vertical="center"/>
    </xf>
    <xf numFmtId="3" fontId="5" fillId="33" borderId="100" xfId="0" applyNumberFormat="1" applyFont="1" applyFill="1" applyBorder="1" applyAlignment="1">
      <alignment horizontal="right" vertical="center"/>
    </xf>
    <xf numFmtId="3" fontId="9" fillId="0" borderId="10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 wrapText="1"/>
    </xf>
    <xf numFmtId="3" fontId="6" fillId="0" borderId="102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103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104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5" fillId="2" borderId="41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/>
    </xf>
    <xf numFmtId="3" fontId="5" fillId="5" borderId="105" xfId="0" applyNumberFormat="1" applyFont="1" applyFill="1" applyBorder="1" applyAlignment="1">
      <alignment horizontal="right" vertical="center"/>
    </xf>
    <xf numFmtId="3" fontId="5" fillId="5" borderId="106" xfId="0" applyNumberFormat="1" applyFont="1" applyFill="1" applyBorder="1" applyAlignment="1">
      <alignment horizontal="right" vertical="center"/>
    </xf>
    <xf numFmtId="3" fontId="5" fillId="5" borderId="5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107" xfId="0" applyNumberFormat="1" applyFont="1" applyFill="1" applyBorder="1" applyAlignment="1">
      <alignment horizontal="right" vertical="center" wrapText="1"/>
    </xf>
    <xf numFmtId="3" fontId="5" fillId="0" borderId="67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center" vertical="center"/>
    </xf>
    <xf numFmtId="3" fontId="5" fillId="5" borderId="23" xfId="0" applyNumberFormat="1" applyFont="1" applyFill="1" applyBorder="1" applyAlignment="1">
      <alignment horizontal="center" vertical="center"/>
    </xf>
    <xf numFmtId="3" fontId="5" fillId="5" borderId="41" xfId="0" applyNumberFormat="1" applyFont="1" applyFill="1" applyBorder="1" applyAlignment="1">
      <alignment horizontal="center" vertical="center"/>
    </xf>
    <xf numFmtId="3" fontId="5" fillId="33" borderId="84" xfId="0" applyNumberFormat="1" applyFont="1" applyFill="1" applyBorder="1" applyAlignment="1">
      <alignment horizontal="right" vertical="center" wrapText="1"/>
    </xf>
    <xf numFmtId="3" fontId="5" fillId="33" borderId="108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5" fillId="0" borderId="109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51" xfId="0" applyNumberFormat="1" applyFont="1" applyFill="1" applyBorder="1" applyAlignment="1">
      <alignment horizontal="right" vertical="center" wrapText="1"/>
    </xf>
    <xf numFmtId="3" fontId="5" fillId="0" borderId="68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33" borderId="51" xfId="0" applyNumberFormat="1" applyFont="1" applyFill="1" applyBorder="1" applyAlignment="1">
      <alignment horizontal="right" vertical="center" wrapText="1"/>
    </xf>
    <xf numFmtId="3" fontId="5" fillId="0" borderId="82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41" xfId="0" applyNumberFormat="1" applyFont="1" applyFill="1" applyBorder="1" applyAlignment="1">
      <alignment horizontal="right" vertical="center" wrapText="1"/>
    </xf>
    <xf numFmtId="3" fontId="5" fillId="0" borderId="110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33" borderId="41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3" fontId="5" fillId="0" borderId="111" xfId="0" applyNumberFormat="1" applyFont="1" applyFill="1" applyBorder="1" applyAlignment="1">
      <alignment horizontal="right" vertical="center" wrapText="1"/>
    </xf>
    <xf numFmtId="3" fontId="5" fillId="0" borderId="11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84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9" fillId="34" borderId="68" xfId="0" applyNumberFormat="1" applyFont="1" applyFill="1" applyBorder="1" applyAlignment="1">
      <alignment horizontal="center" vertical="center"/>
    </xf>
    <xf numFmtId="0" fontId="5" fillId="34" borderId="113" xfId="0" applyFont="1" applyFill="1" applyBorder="1" applyAlignment="1">
      <alignment horizontal="center" vertical="center"/>
    </xf>
    <xf numFmtId="0" fontId="5" fillId="34" borderId="114" xfId="0" applyFont="1" applyFill="1" applyBorder="1" applyAlignment="1">
      <alignment horizontal="center" vertical="center"/>
    </xf>
    <xf numFmtId="0" fontId="5" fillId="34" borderId="115" xfId="0" applyFont="1" applyFill="1" applyBorder="1" applyAlignment="1">
      <alignment horizontal="center" vertical="center"/>
    </xf>
    <xf numFmtId="0" fontId="5" fillId="34" borderId="116" xfId="0" applyFont="1" applyFill="1" applyBorder="1" applyAlignment="1">
      <alignment horizontal="center" vertical="center" wrapText="1"/>
    </xf>
    <xf numFmtId="0" fontId="5" fillId="33" borderId="115" xfId="0" applyFont="1" applyFill="1" applyBorder="1" applyAlignment="1">
      <alignment horizontal="center" vertical="center" wrapText="1"/>
    </xf>
    <xf numFmtId="0" fontId="5" fillId="34" borderId="114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6" fillId="32" borderId="1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/>
    </xf>
    <xf numFmtId="3" fontId="5" fillId="32" borderId="89" xfId="0" applyNumberFormat="1" applyFont="1" applyFill="1" applyBorder="1" applyAlignment="1">
      <alignment horizontal="right"/>
    </xf>
    <xf numFmtId="3" fontId="5" fillId="32" borderId="46" xfId="0" applyNumberFormat="1" applyFont="1" applyFill="1" applyBorder="1" applyAlignment="1">
      <alignment horizontal="right"/>
    </xf>
    <xf numFmtId="3" fontId="5" fillId="32" borderId="45" xfId="0" applyNumberFormat="1" applyFont="1" applyFill="1" applyBorder="1" applyAlignment="1">
      <alignment horizontal="right"/>
    </xf>
    <xf numFmtId="0" fontId="20" fillId="32" borderId="71" xfId="0" applyFont="1" applyFill="1" applyBorder="1" applyAlignment="1">
      <alignment horizontal="center"/>
    </xf>
    <xf numFmtId="0" fontId="20" fillId="32" borderId="77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70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3" fontId="5" fillId="33" borderId="55" xfId="0" applyNumberFormat="1" applyFont="1" applyFill="1" applyBorder="1" applyAlignment="1">
      <alignment horizontal="right" vertical="center"/>
    </xf>
    <xf numFmtId="3" fontId="5" fillId="33" borderId="49" xfId="0" applyNumberFormat="1" applyFont="1" applyFill="1" applyBorder="1" applyAlignment="1">
      <alignment horizontal="right" vertical="center"/>
    </xf>
    <xf numFmtId="3" fontId="5" fillId="0" borderId="119" xfId="0" applyNumberFormat="1" applyFont="1" applyFill="1" applyBorder="1" applyAlignment="1">
      <alignment horizontal="right" vertical="center"/>
    </xf>
    <xf numFmtId="3" fontId="5" fillId="0" borderId="120" xfId="0" applyNumberFormat="1" applyFont="1" applyFill="1" applyBorder="1" applyAlignment="1">
      <alignment horizontal="right" vertical="center"/>
    </xf>
    <xf numFmtId="3" fontId="6" fillId="0" borderId="121" xfId="0" applyNumberFormat="1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vertical="center" wrapText="1"/>
    </xf>
    <xf numFmtId="3" fontId="6" fillId="0" borderId="53" xfId="0" applyNumberFormat="1" applyFont="1" applyFill="1" applyBorder="1" applyAlignment="1">
      <alignment horizontal="right" vertical="center"/>
    </xf>
    <xf numFmtId="3" fontId="5" fillId="33" borderId="53" xfId="0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3" fontId="5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3" fontId="6" fillId="32" borderId="10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9" fillId="0" borderId="73" xfId="0" applyNumberFormat="1" applyFont="1" applyFill="1" applyBorder="1" applyAlignment="1">
      <alignment horizontal="center" vertical="center"/>
    </xf>
    <xf numFmtId="3" fontId="6" fillId="0" borderId="71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3" fontId="6" fillId="0" borderId="123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3" fontId="6" fillId="0" borderId="76" xfId="0" applyNumberFormat="1" applyFont="1" applyFill="1" applyBorder="1" applyAlignment="1">
      <alignment horizontal="right" vertical="center"/>
    </xf>
    <xf numFmtId="0" fontId="4" fillId="0" borderId="8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33" borderId="5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right" vertical="center"/>
    </xf>
    <xf numFmtId="3" fontId="6" fillId="0" borderId="73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4" fillId="0" borderId="12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1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3" fontId="5" fillId="33" borderId="73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6" fillId="0" borderId="12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6" fillId="0" borderId="12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83" xfId="0" applyFont="1" applyBorder="1" applyAlignment="1">
      <alignment horizontal="right" vertical="center"/>
    </xf>
    <xf numFmtId="3" fontId="6" fillId="0" borderId="7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vertical="center" wrapText="1"/>
    </xf>
    <xf numFmtId="49" fontId="5" fillId="0" borderId="53" xfId="0" applyNumberFormat="1" applyFont="1" applyFill="1" applyBorder="1" applyAlignment="1">
      <alignment vertical="center" wrapText="1"/>
    </xf>
    <xf numFmtId="0" fontId="4" fillId="0" borderId="39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vertical="center" wrapText="1"/>
    </xf>
    <xf numFmtId="0" fontId="4" fillId="0" borderId="59" xfId="0" applyFont="1" applyBorder="1" applyAlignment="1">
      <alignment/>
    </xf>
    <xf numFmtId="49" fontId="5" fillId="5" borderId="43" xfId="0" applyNumberFormat="1" applyFont="1" applyFill="1" applyBorder="1" applyAlignment="1">
      <alignment vertical="center" wrapText="1"/>
    </xf>
    <xf numFmtId="49" fontId="5" fillId="5" borderId="10" xfId="0" applyNumberFormat="1" applyFont="1" applyFill="1" applyBorder="1" applyAlignment="1">
      <alignment vertical="center" wrapText="1"/>
    </xf>
    <xf numFmtId="0" fontId="4" fillId="5" borderId="14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3" fontId="6" fillId="0" borderId="128" xfId="0" applyNumberFormat="1" applyFont="1" applyFill="1" applyBorder="1" applyAlignment="1">
      <alignment horizontal="right" vertical="center"/>
    </xf>
    <xf numFmtId="0" fontId="4" fillId="0" borderId="129" xfId="0" applyFont="1" applyFill="1" applyBorder="1" applyAlignment="1">
      <alignment horizontal="right" vertical="center"/>
    </xf>
    <xf numFmtId="3" fontId="5" fillId="0" borderId="74" xfId="0" applyNumberFormat="1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3" fontId="6" fillId="0" borderId="130" xfId="0" applyNumberFormat="1" applyFont="1" applyFill="1" applyBorder="1" applyAlignment="1">
      <alignment horizontal="right" vertical="center"/>
    </xf>
    <xf numFmtId="3" fontId="5" fillId="0" borderId="109" xfId="0" applyNumberFormat="1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3" fontId="6" fillId="0" borderId="53" xfId="0" applyNumberFormat="1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5" borderId="31" xfId="0" applyNumberFormat="1" applyFont="1" applyFill="1" applyBorder="1" applyAlignment="1">
      <alignment vertical="center" wrapText="1"/>
    </xf>
    <xf numFmtId="49" fontId="5" fillId="5" borderId="112" xfId="0" applyNumberFormat="1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/>
    </xf>
    <xf numFmtId="3" fontId="5" fillId="5" borderId="77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vertical="center" wrapText="1"/>
    </xf>
    <xf numFmtId="49" fontId="5" fillId="0" borderId="62" xfId="0" applyNumberFormat="1" applyFont="1" applyFill="1" applyBorder="1" applyAlignment="1">
      <alignment vertical="center" wrapText="1"/>
    </xf>
    <xf numFmtId="3" fontId="5" fillId="0" borderId="11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 wrapText="1"/>
    </xf>
    <xf numFmtId="3" fontId="5" fillId="33" borderId="53" xfId="0" applyNumberFormat="1" applyFont="1" applyFill="1" applyBorder="1" applyAlignment="1">
      <alignment horizontal="right" vertical="center"/>
    </xf>
    <xf numFmtId="0" fontId="6" fillId="33" borderId="53" xfId="0" applyFont="1" applyFill="1" applyBorder="1" applyAlignment="1">
      <alignment horizontal="right" vertical="center"/>
    </xf>
    <xf numFmtId="3" fontId="6" fillId="0" borderId="122" xfId="0" applyNumberFormat="1" applyFont="1" applyFill="1" applyBorder="1" applyAlignment="1">
      <alignment horizontal="right" vertical="center"/>
    </xf>
    <xf numFmtId="3" fontId="6" fillId="0" borderId="131" xfId="0" applyNumberFormat="1" applyFont="1" applyFill="1" applyBorder="1" applyAlignment="1">
      <alignment horizontal="right" vertical="center"/>
    </xf>
    <xf numFmtId="0" fontId="6" fillId="0" borderId="132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49" fontId="6" fillId="0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/>
    </xf>
    <xf numFmtId="0" fontId="4" fillId="0" borderId="12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3" fontId="6" fillId="0" borderId="127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" fontId="6" fillId="0" borderId="127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133" xfId="0" applyNumberFormat="1" applyFont="1" applyFill="1" applyBorder="1" applyAlignment="1">
      <alignment horizontal="right" vertical="center"/>
    </xf>
    <xf numFmtId="3" fontId="6" fillId="0" borderId="134" xfId="0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horizontal="right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73" xfId="0" applyNumberFormat="1" applyFont="1" applyBorder="1" applyAlignment="1">
      <alignment horizontal="right" vertical="center"/>
    </xf>
    <xf numFmtId="3" fontId="6" fillId="0" borderId="75" xfId="0" applyNumberFormat="1" applyFont="1" applyBorder="1" applyAlignment="1">
      <alignment horizontal="right" vertical="center"/>
    </xf>
    <xf numFmtId="0" fontId="6" fillId="32" borderId="4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0" fontId="0" fillId="0" borderId="126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3" fontId="6" fillId="32" borderId="11" xfId="0" applyNumberFormat="1" applyFont="1" applyFill="1" applyBorder="1" applyAlignment="1">
      <alignment horizontal="center" vertical="center"/>
    </xf>
    <xf numFmtId="3" fontId="6" fillId="0" borderId="123" xfId="0" applyNumberFormat="1" applyFont="1" applyFill="1" applyBorder="1" applyAlignment="1">
      <alignment horizontal="center" vertical="center"/>
    </xf>
    <xf numFmtId="3" fontId="6" fillId="0" borderId="135" xfId="0" applyNumberFormat="1" applyFont="1" applyFill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4" xfId="0" applyFont="1" applyBorder="1" applyAlignment="1">
      <alignment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73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0" fontId="6" fillId="0" borderId="122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22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3" fontId="6" fillId="32" borderId="71" xfId="0" applyNumberFormat="1" applyFont="1" applyFill="1" applyBorder="1" applyAlignment="1">
      <alignment horizontal="center" vertical="center"/>
    </xf>
    <xf numFmtId="3" fontId="6" fillId="35" borderId="7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3" fontId="9" fillId="32" borderId="73" xfId="0" applyNumberFormat="1" applyFont="1" applyFill="1" applyBorder="1" applyAlignment="1">
      <alignment horizontal="center" vertical="center"/>
    </xf>
    <xf numFmtId="3" fontId="9" fillId="32" borderId="51" xfId="0" applyNumberFormat="1" applyFont="1" applyFill="1" applyBorder="1" applyAlignment="1">
      <alignment horizontal="center" vertical="center"/>
    </xf>
    <xf numFmtId="3" fontId="9" fillId="32" borderId="4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vertical="center" wrapText="1"/>
    </xf>
    <xf numFmtId="0" fontId="4" fillId="0" borderId="62" xfId="0" applyFont="1" applyBorder="1" applyAlignment="1">
      <alignment/>
    </xf>
    <xf numFmtId="49" fontId="5" fillId="0" borderId="61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/>
    </xf>
    <xf numFmtId="3" fontId="5" fillId="32" borderId="73" xfId="0" applyNumberFormat="1" applyFont="1" applyFill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5" fillId="33" borderId="58" xfId="0" applyFont="1" applyFill="1" applyBorder="1" applyAlignment="1">
      <alignment vertical="center"/>
    </xf>
    <xf numFmtId="0" fontId="5" fillId="33" borderId="112" xfId="0" applyFont="1" applyFill="1" applyBorder="1" applyAlignment="1">
      <alignment vertical="center"/>
    </xf>
    <xf numFmtId="0" fontId="4" fillId="33" borderId="112" xfId="0" applyFont="1" applyFill="1" applyBorder="1" applyAlignment="1">
      <alignment/>
    </xf>
    <xf numFmtId="49" fontId="5" fillId="0" borderId="55" xfId="0" applyNumberFormat="1" applyFont="1" applyFill="1" applyBorder="1" applyAlignment="1">
      <alignment vertical="center"/>
    </xf>
    <xf numFmtId="49" fontId="5" fillId="0" borderId="62" xfId="0" applyNumberFormat="1" applyFont="1" applyFill="1" applyBorder="1" applyAlignment="1">
      <alignment vertical="center"/>
    </xf>
    <xf numFmtId="49" fontId="5" fillId="0" borderId="49" xfId="0" applyNumberFormat="1" applyFont="1" applyFill="1" applyBorder="1" applyAlignment="1">
      <alignment vertical="center"/>
    </xf>
    <xf numFmtId="49" fontId="5" fillId="0" borderId="87" xfId="0" applyNumberFormat="1" applyFont="1" applyFill="1" applyBorder="1" applyAlignment="1">
      <alignment vertical="center"/>
    </xf>
    <xf numFmtId="0" fontId="4" fillId="0" borderId="87" xfId="0" applyFont="1" applyBorder="1" applyAlignment="1">
      <alignment/>
    </xf>
    <xf numFmtId="49" fontId="5" fillId="5" borderId="58" xfId="0" applyNumberFormat="1" applyFont="1" applyFill="1" applyBorder="1" applyAlignment="1">
      <alignment horizontal="left" vertical="center" wrapText="1"/>
    </xf>
    <xf numFmtId="49" fontId="5" fillId="5" borderId="112" xfId="0" applyNumberFormat="1" applyFont="1" applyFill="1" applyBorder="1" applyAlignment="1">
      <alignment horizontal="left" vertical="center" wrapText="1"/>
    </xf>
    <xf numFmtId="0" fontId="4" fillId="5" borderId="112" xfId="0" applyFont="1" applyFill="1" applyBorder="1" applyAlignment="1">
      <alignment/>
    </xf>
    <xf numFmtId="0" fontId="5" fillId="0" borderId="58" xfId="0" applyFont="1" applyFill="1" applyBorder="1" applyAlignment="1">
      <alignment horizontal="left" vertical="center"/>
    </xf>
    <xf numFmtId="0" fontId="5" fillId="0" borderId="112" xfId="0" applyFont="1" applyFill="1" applyBorder="1" applyAlignment="1">
      <alignment horizontal="left" vertical="center"/>
    </xf>
    <xf numFmtId="0" fontId="4" fillId="0" borderId="1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34" borderId="75" xfId="0" applyFont="1" applyFill="1" applyBorder="1" applyAlignment="1">
      <alignment horizontal="center" vertical="center"/>
    </xf>
    <xf numFmtId="0" fontId="6" fillId="0" borderId="122" xfId="0" applyFont="1" applyBorder="1" applyAlignment="1">
      <alignment/>
    </xf>
    <xf numFmtId="0" fontId="5" fillId="34" borderId="73" xfId="0" applyFont="1" applyFill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5" fillId="34" borderId="73" xfId="0" applyFont="1" applyFill="1" applyBorder="1" applyAlignment="1">
      <alignment horizontal="center" vertical="center" wrapText="1"/>
    </xf>
    <xf numFmtId="0" fontId="17" fillId="34" borderId="75" xfId="0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/>
    </xf>
    <xf numFmtId="0" fontId="5" fillId="33" borderId="7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/>
    </xf>
    <xf numFmtId="3" fontId="5" fillId="32" borderId="114" xfId="0" applyNumberFormat="1" applyFont="1" applyFill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5" fillId="34" borderId="137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34" borderId="139" xfId="0" applyFont="1" applyFill="1" applyBorder="1" applyAlignment="1">
      <alignment horizontal="center" vertical="center" wrapText="1"/>
    </xf>
    <xf numFmtId="0" fontId="6" fillId="0" borderId="139" xfId="0" applyFont="1" applyBorder="1" applyAlignment="1">
      <alignment/>
    </xf>
    <xf numFmtId="0" fontId="5" fillId="33" borderId="114" xfId="0" applyFont="1" applyFill="1" applyBorder="1" applyAlignment="1">
      <alignment horizontal="center" vertical="center"/>
    </xf>
    <xf numFmtId="0" fontId="5" fillId="33" borderId="139" xfId="0" applyFont="1" applyFill="1" applyBorder="1" applyAlignment="1">
      <alignment horizontal="center" vertical="center"/>
    </xf>
    <xf numFmtId="0" fontId="6" fillId="0" borderId="139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140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wrapText="1"/>
    </xf>
    <xf numFmtId="0" fontId="6" fillId="0" borderId="125" xfId="0" applyFont="1" applyBorder="1" applyAlignment="1">
      <alignment vertical="center"/>
    </xf>
    <xf numFmtId="0" fontId="15" fillId="32" borderId="73" xfId="0" applyNumberFormat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4" fillId="0" borderId="109" xfId="0" applyFont="1" applyBorder="1" applyAlignment="1">
      <alignment vertical="center"/>
    </xf>
    <xf numFmtId="0" fontId="5" fillId="32" borderId="73" xfId="0" applyNumberFormat="1" applyFont="1" applyFill="1" applyBorder="1" applyAlignment="1">
      <alignment horizontal="center" vertical="center" wrapText="1"/>
    </xf>
    <xf numFmtId="18" fontId="20" fillId="32" borderId="27" xfId="0" applyNumberFormat="1" applyFont="1" applyFill="1" applyBorder="1" applyAlignment="1">
      <alignment horizontal="center" vertical="center"/>
    </xf>
    <xf numFmtId="0" fontId="20" fillId="32" borderId="2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32" borderId="73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4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8" fontId="20" fillId="32" borderId="37" xfId="0" applyNumberFormat="1" applyFont="1" applyFill="1" applyBorder="1" applyAlignment="1">
      <alignment horizontal="center" vertical="center"/>
    </xf>
    <xf numFmtId="18" fontId="20" fillId="32" borderId="22" xfId="0" applyNumberFormat="1" applyFont="1" applyFill="1" applyBorder="1" applyAlignment="1">
      <alignment horizontal="center" vertical="center"/>
    </xf>
    <xf numFmtId="0" fontId="20" fillId="32" borderId="37" xfId="0" applyNumberFormat="1" applyFont="1" applyFill="1" applyBorder="1" applyAlignment="1">
      <alignment horizontal="center" vertical="center"/>
    </xf>
    <xf numFmtId="0" fontId="20" fillId="32" borderId="22" xfId="0" applyNumberFormat="1" applyFont="1" applyFill="1" applyBorder="1" applyAlignment="1">
      <alignment horizontal="center" vertical="center"/>
    </xf>
    <xf numFmtId="3" fontId="5" fillId="5" borderId="126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vertical="center" wrapText="1"/>
    </xf>
    <xf numFmtId="49" fontId="5" fillId="5" borderId="26" xfId="0" applyNumberFormat="1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vertical="center" wrapText="1"/>
    </xf>
    <xf numFmtId="49" fontId="5" fillId="2" borderId="31" xfId="0" applyNumberFormat="1" applyFont="1" applyFill="1" applyBorder="1" applyAlignment="1">
      <alignment vertical="center" wrapText="1"/>
    </xf>
    <xf numFmtId="49" fontId="5" fillId="2" borderId="112" xfId="0" applyNumberFormat="1" applyFont="1" applyFill="1" applyBorder="1" applyAlignment="1">
      <alignment vertical="center" wrapText="1"/>
    </xf>
    <xf numFmtId="49" fontId="5" fillId="2" borderId="26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4"/>
  <sheetViews>
    <sheetView tabSelected="1" view="pageBreakPreview" zoomScale="90" zoomScaleSheetLayoutView="90" zoomScalePageLayoutView="0" workbookViewId="0" topLeftCell="A127">
      <selection activeCell="N1" sqref="N1:AA16384"/>
    </sheetView>
  </sheetViews>
  <sheetFormatPr defaultColWidth="19.00390625" defaultRowHeight="15"/>
  <cols>
    <col min="1" max="1" width="5.00390625" style="6" customWidth="1"/>
    <col min="2" max="2" width="84.57421875" style="1" customWidth="1"/>
    <col min="3" max="3" width="14.00390625" style="1" customWidth="1"/>
    <col min="4" max="4" width="13.7109375" style="1" customWidth="1"/>
    <col min="5" max="5" width="20.421875" style="1" customWidth="1"/>
    <col min="6" max="11" width="16.421875" style="1" customWidth="1"/>
    <col min="12" max="12" width="16.421875" style="5" customWidth="1"/>
    <col min="13" max="13" width="7.8515625" style="4" customWidth="1"/>
    <col min="14" max="14" width="24.140625" style="1" hidden="1" customWidth="1"/>
    <col min="15" max="15" width="30.28125" style="3" hidden="1" customWidth="1"/>
    <col min="16" max="16" width="17.28125" style="3" hidden="1" customWidth="1"/>
    <col min="17" max="17" width="15.00390625" style="1" hidden="1" customWidth="1"/>
    <col min="18" max="20" width="15.7109375" style="1" hidden="1" customWidth="1"/>
    <col min="21" max="21" width="15.7109375" style="2" hidden="1" customWidth="1"/>
    <col min="22" max="22" width="137.140625" style="1" hidden="1" customWidth="1"/>
    <col min="23" max="23" width="3.8515625" style="1" hidden="1" customWidth="1"/>
    <col min="24" max="24" width="17.57421875" style="1" hidden="1" customWidth="1"/>
    <col min="25" max="25" width="17.8515625" style="1" hidden="1" customWidth="1"/>
    <col min="26" max="26" width="14.421875" style="1" hidden="1" customWidth="1"/>
    <col min="27" max="27" width="18.7109375" style="1" hidden="1" customWidth="1"/>
    <col min="28" max="249" width="9.140625" style="1" customWidth="1"/>
    <col min="250" max="250" width="5.00390625" style="1" customWidth="1"/>
    <col min="251" max="251" width="75.28125" style="1" customWidth="1"/>
    <col min="252" max="252" width="14.00390625" style="1" customWidth="1"/>
    <col min="253" max="253" width="13.00390625" style="1" customWidth="1"/>
    <col min="254" max="254" width="21.28125" style="1" customWidth="1"/>
    <col min="255" max="16384" width="19.00390625" style="1" customWidth="1"/>
  </cols>
  <sheetData>
    <row r="1" spans="1:22" ht="16.5">
      <c r="A1" s="313"/>
      <c r="B1" s="10"/>
      <c r="C1" s="313"/>
      <c r="D1" s="313"/>
      <c r="E1" s="313"/>
      <c r="F1" s="313"/>
      <c r="G1" s="313"/>
      <c r="H1" s="313"/>
      <c r="I1" s="313"/>
      <c r="K1" s="313" t="s">
        <v>187</v>
      </c>
      <c r="L1" s="312"/>
      <c r="N1" s="310"/>
      <c r="O1" s="310"/>
      <c r="P1" s="310"/>
      <c r="Q1" s="310"/>
      <c r="R1" s="310"/>
      <c r="S1" s="310"/>
      <c r="T1" s="310"/>
      <c r="U1" s="311"/>
      <c r="V1" s="310"/>
    </row>
    <row r="2" spans="1:22" s="107" customFormat="1" ht="16.5">
      <c r="A2" s="317"/>
      <c r="B2" s="332"/>
      <c r="C2" s="317"/>
      <c r="D2" s="317"/>
      <c r="E2" s="317"/>
      <c r="F2" s="317"/>
      <c r="G2" s="317"/>
      <c r="H2" s="317"/>
      <c r="I2" s="317"/>
      <c r="K2" s="357" t="s">
        <v>199</v>
      </c>
      <c r="L2" s="322"/>
      <c r="M2" s="315"/>
      <c r="N2" s="321"/>
      <c r="O2" s="321"/>
      <c r="P2" s="321"/>
      <c r="Q2" s="319"/>
      <c r="R2" s="319"/>
      <c r="S2" s="319"/>
      <c r="T2" s="319"/>
      <c r="U2" s="320"/>
      <c r="V2" s="319"/>
    </row>
    <row r="3" spans="1:21" s="206" customFormat="1" ht="16.5">
      <c r="A3" s="318"/>
      <c r="B3" s="332"/>
      <c r="C3" s="318"/>
      <c r="D3" s="318"/>
      <c r="E3" s="318"/>
      <c r="F3" s="318"/>
      <c r="G3" s="318"/>
      <c r="H3" s="318"/>
      <c r="I3" s="318"/>
      <c r="K3" s="317" t="s">
        <v>186</v>
      </c>
      <c r="L3" s="316"/>
      <c r="M3" s="315"/>
      <c r="N3" s="315"/>
      <c r="O3" s="315"/>
      <c r="P3" s="315"/>
      <c r="U3" s="314"/>
    </row>
    <row r="4" spans="1:22" ht="16.5">
      <c r="A4" s="313"/>
      <c r="B4" s="313"/>
      <c r="C4" s="313"/>
      <c r="D4" s="313"/>
      <c r="E4" s="313"/>
      <c r="F4" s="313"/>
      <c r="G4" s="313"/>
      <c r="H4" s="313"/>
      <c r="I4" s="313"/>
      <c r="K4" s="357" t="s">
        <v>200</v>
      </c>
      <c r="L4" s="312"/>
      <c r="N4" s="310"/>
      <c r="O4" s="310"/>
      <c r="P4" s="310"/>
      <c r="Q4" s="310"/>
      <c r="R4" s="310"/>
      <c r="S4" s="310"/>
      <c r="T4" s="310"/>
      <c r="U4" s="311"/>
      <c r="V4" s="310"/>
    </row>
    <row r="5" spans="1:22" ht="16.5" customHeight="1">
      <c r="A5" s="622" t="s">
        <v>185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N5" s="310"/>
      <c r="O5" s="310"/>
      <c r="P5" s="310"/>
      <c r="Q5" s="310"/>
      <c r="R5" s="310"/>
      <c r="S5" s="310"/>
      <c r="T5" s="310"/>
      <c r="U5" s="311"/>
      <c r="V5" s="310"/>
    </row>
    <row r="6" spans="1:21" ht="17.25" thickBot="1">
      <c r="A6" s="623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50"/>
      <c r="M6" s="309"/>
      <c r="O6" s="308"/>
      <c r="P6" s="308"/>
      <c r="Q6" s="7"/>
      <c r="R6" s="7"/>
      <c r="S6" s="7"/>
      <c r="T6" s="7"/>
      <c r="U6" s="8"/>
    </row>
    <row r="7" spans="1:27" s="108" customFormat="1" ht="36.75" customHeight="1" thickBot="1">
      <c r="A7" s="624" t="s">
        <v>184</v>
      </c>
      <c r="B7" s="626" t="s">
        <v>183</v>
      </c>
      <c r="C7" s="628" t="s">
        <v>182</v>
      </c>
      <c r="D7" s="628" t="s">
        <v>181</v>
      </c>
      <c r="E7" s="629" t="s">
        <v>180</v>
      </c>
      <c r="F7" s="631" t="s">
        <v>179</v>
      </c>
      <c r="G7" s="645" t="s">
        <v>178</v>
      </c>
      <c r="H7" s="646"/>
      <c r="I7" s="646"/>
      <c r="J7" s="646"/>
      <c r="K7" s="646"/>
      <c r="L7" s="660" t="s">
        <v>177</v>
      </c>
      <c r="M7" s="307"/>
      <c r="N7" s="647" t="s">
        <v>176</v>
      </c>
      <c r="O7" s="648"/>
      <c r="P7" s="648"/>
      <c r="Q7" s="648"/>
      <c r="R7" s="648"/>
      <c r="S7" s="648"/>
      <c r="T7" s="648"/>
      <c r="U7" s="648"/>
      <c r="V7" s="648"/>
      <c r="W7" s="649"/>
      <c r="X7" s="649"/>
      <c r="Y7" s="649"/>
      <c r="Z7" s="649"/>
      <c r="AA7" s="650"/>
    </row>
    <row r="8" spans="1:27" s="108" customFormat="1" ht="17.25" customHeight="1" thickBot="1">
      <c r="A8" s="625"/>
      <c r="B8" s="627"/>
      <c r="C8" s="627"/>
      <c r="D8" s="367"/>
      <c r="E8" s="630"/>
      <c r="F8" s="632"/>
      <c r="G8" s="626">
        <v>2012</v>
      </c>
      <c r="H8" s="626">
        <v>2013</v>
      </c>
      <c r="I8" s="626">
        <v>2014</v>
      </c>
      <c r="J8" s="626">
        <v>2015</v>
      </c>
      <c r="K8" s="624">
        <v>2016</v>
      </c>
      <c r="L8" s="661"/>
      <c r="M8" s="323"/>
      <c r="N8" s="306"/>
      <c r="O8" s="651" t="s">
        <v>175</v>
      </c>
      <c r="P8" s="652"/>
      <c r="Q8" s="570"/>
      <c r="R8" s="570"/>
      <c r="S8" s="570"/>
      <c r="T8" s="653"/>
      <c r="U8" s="305"/>
      <c r="V8" s="654" t="s">
        <v>174</v>
      </c>
      <c r="X8" s="655" t="s">
        <v>173</v>
      </c>
      <c r="Y8" s="578"/>
      <c r="Z8" s="578"/>
      <c r="AA8" s="656"/>
    </row>
    <row r="9" spans="1:27" s="108" customFormat="1" ht="69" customHeight="1" thickBot="1">
      <c r="A9" s="625"/>
      <c r="B9" s="627"/>
      <c r="C9" s="627"/>
      <c r="D9" s="367"/>
      <c r="E9" s="630"/>
      <c r="F9" s="632"/>
      <c r="G9" s="659"/>
      <c r="H9" s="627"/>
      <c r="I9" s="627"/>
      <c r="J9" s="627"/>
      <c r="K9" s="625"/>
      <c r="L9" s="661"/>
      <c r="M9" s="323"/>
      <c r="N9" s="164" t="s">
        <v>172</v>
      </c>
      <c r="O9" s="657" t="s">
        <v>171</v>
      </c>
      <c r="P9" s="662">
        <v>2011</v>
      </c>
      <c r="Q9" s="626">
        <v>2010</v>
      </c>
      <c r="R9" s="626">
        <v>2009</v>
      </c>
      <c r="S9" s="626">
        <v>2008</v>
      </c>
      <c r="T9" s="626">
        <v>2007</v>
      </c>
      <c r="U9" s="304" t="s">
        <v>170</v>
      </c>
      <c r="V9" s="468"/>
      <c r="X9" s="640" t="s">
        <v>169</v>
      </c>
      <c r="Y9" s="641"/>
      <c r="Z9" s="640" t="s">
        <v>168</v>
      </c>
      <c r="AA9" s="641"/>
    </row>
    <row r="10" spans="1:27" s="108" customFormat="1" ht="17.25" customHeight="1" thickBot="1">
      <c r="A10" s="299">
        <v>1</v>
      </c>
      <c r="B10" s="300">
        <v>2</v>
      </c>
      <c r="C10" s="303">
        <v>3</v>
      </c>
      <c r="D10" s="303">
        <v>4</v>
      </c>
      <c r="E10" s="303">
        <v>5</v>
      </c>
      <c r="F10" s="302">
        <v>6</v>
      </c>
      <c r="G10" s="301">
        <v>7</v>
      </c>
      <c r="H10" s="300">
        <v>8</v>
      </c>
      <c r="I10" s="300">
        <v>9</v>
      </c>
      <c r="J10" s="300">
        <v>10</v>
      </c>
      <c r="K10" s="299">
        <v>11</v>
      </c>
      <c r="L10" s="298">
        <v>12</v>
      </c>
      <c r="M10" s="324"/>
      <c r="N10" s="160"/>
      <c r="O10" s="658"/>
      <c r="P10" s="473"/>
      <c r="Q10" s="561"/>
      <c r="R10" s="561"/>
      <c r="S10" s="561"/>
      <c r="T10" s="561"/>
      <c r="U10" s="297"/>
      <c r="V10" s="644"/>
      <c r="X10" s="635" t="s">
        <v>167</v>
      </c>
      <c r="Y10" s="637" t="s">
        <v>166</v>
      </c>
      <c r="Z10" s="635" t="s">
        <v>167</v>
      </c>
      <c r="AA10" s="637" t="s">
        <v>166</v>
      </c>
    </row>
    <row r="11" spans="1:27" s="107" customFormat="1" ht="20.25" customHeight="1">
      <c r="A11" s="348"/>
      <c r="B11" s="619" t="s">
        <v>165</v>
      </c>
      <c r="C11" s="620"/>
      <c r="D11" s="620"/>
      <c r="E11" s="621"/>
      <c r="F11" s="272">
        <f>F14+F159+F165</f>
        <v>55980111</v>
      </c>
      <c r="G11" s="296">
        <f>G12+G13</f>
        <v>8264401</v>
      </c>
      <c r="H11" s="294">
        <f>H14+H159+H165</f>
        <v>11467669</v>
      </c>
      <c r="I11" s="295">
        <f>I14+I159+I165</f>
        <v>22237919</v>
      </c>
      <c r="J11" s="294">
        <f>J14+J159+J165</f>
        <v>2908900</v>
      </c>
      <c r="K11" s="293">
        <f>K14+K159+K165</f>
        <v>923100</v>
      </c>
      <c r="L11" s="292">
        <f>L14+L159+L165</f>
        <v>45801989</v>
      </c>
      <c r="M11" s="264"/>
      <c r="N11" s="291"/>
      <c r="O11" s="290">
        <f>F11-(G11+H11+I11+J11+K11+T11+S11+R11+Q11+P11)</f>
        <v>0</v>
      </c>
      <c r="P11" s="290">
        <f>P14+P159+P165</f>
        <v>8066082</v>
      </c>
      <c r="Q11" s="290">
        <f>Q14+Q159+Q165</f>
        <v>1300101</v>
      </c>
      <c r="R11" s="290">
        <f>R14+R159+R165</f>
        <v>577444</v>
      </c>
      <c r="S11" s="290">
        <f>S14+S159+S165</f>
        <v>159356</v>
      </c>
      <c r="T11" s="290">
        <f>T14+T159+T165</f>
        <v>75139</v>
      </c>
      <c r="U11" s="267">
        <f aca="true" t="shared" si="0" ref="U11:U20">SUM(P11:T11)</f>
        <v>10178122</v>
      </c>
      <c r="V11" s="642"/>
      <c r="X11" s="636"/>
      <c r="Y11" s="638"/>
      <c r="Z11" s="636"/>
      <c r="AA11" s="638"/>
    </row>
    <row r="12" spans="1:27" s="107" customFormat="1" ht="20.25" customHeight="1" thickBot="1">
      <c r="A12" s="349"/>
      <c r="B12" s="611" t="s">
        <v>24</v>
      </c>
      <c r="C12" s="612"/>
      <c r="D12" s="612"/>
      <c r="E12" s="601"/>
      <c r="F12" s="289">
        <f>F15+F160+F166</f>
        <v>11020324</v>
      </c>
      <c r="G12" s="288">
        <f>G15</f>
        <v>2854716</v>
      </c>
      <c r="H12" s="286">
        <f>H15+H160+H166</f>
        <v>2567919</v>
      </c>
      <c r="I12" s="287">
        <f>I15+I160+I166</f>
        <v>865710</v>
      </c>
      <c r="J12" s="286">
        <f>J15+J160+J166</f>
        <v>908900</v>
      </c>
      <c r="K12" s="285">
        <f>K15+K160+K166</f>
        <v>923100</v>
      </c>
      <c r="L12" s="284">
        <f>L15+L160+L166</f>
        <v>8120345</v>
      </c>
      <c r="M12" s="264"/>
      <c r="N12" s="277"/>
      <c r="O12" s="256">
        <f aca="true" t="shared" si="1" ref="O12:O20">F12-(G12+H12+I12+J12+K12+P12+Q12+R12+S12+T12)</f>
        <v>0</v>
      </c>
      <c r="P12" s="256">
        <f>P15+P160+P166</f>
        <v>1679766</v>
      </c>
      <c r="Q12" s="256">
        <f>Q15+Q160+Q166</f>
        <v>763955</v>
      </c>
      <c r="R12" s="256">
        <f>R15+R160+R166</f>
        <v>318506</v>
      </c>
      <c r="S12" s="256">
        <f>S15+S160+S166</f>
        <v>137752</v>
      </c>
      <c r="T12" s="256">
        <f>T15+T160+T166</f>
        <v>0</v>
      </c>
      <c r="U12" s="255">
        <f t="shared" si="0"/>
        <v>2899979</v>
      </c>
      <c r="V12" s="643"/>
      <c r="X12" s="636"/>
      <c r="Y12" s="638"/>
      <c r="Z12" s="636"/>
      <c r="AA12" s="639"/>
    </row>
    <row r="13" spans="1:27" s="107" customFormat="1" ht="20.25" customHeight="1" thickBot="1">
      <c r="A13" s="344"/>
      <c r="B13" s="613" t="s">
        <v>23</v>
      </c>
      <c r="C13" s="614"/>
      <c r="D13" s="614"/>
      <c r="E13" s="615"/>
      <c r="F13" s="283">
        <f>F16+F161</f>
        <v>44959787</v>
      </c>
      <c r="G13" s="282">
        <f>G16</f>
        <v>5409685</v>
      </c>
      <c r="H13" s="280">
        <f>H16+H161</f>
        <v>8899750</v>
      </c>
      <c r="I13" s="281">
        <f>I16+I161</f>
        <v>21372209</v>
      </c>
      <c r="J13" s="280">
        <f>J16+J161</f>
        <v>2000000</v>
      </c>
      <c r="K13" s="279">
        <f>K16+K161</f>
        <v>0</v>
      </c>
      <c r="L13" s="278">
        <f>L16+L161</f>
        <v>37681644</v>
      </c>
      <c r="M13" s="264"/>
      <c r="N13" s="277"/>
      <c r="O13" s="252">
        <f t="shared" si="1"/>
        <v>0</v>
      </c>
      <c r="P13" s="252">
        <f>P16+P161</f>
        <v>6386316</v>
      </c>
      <c r="Q13" s="252">
        <f>Q16+Q161</f>
        <v>536146</v>
      </c>
      <c r="R13" s="252">
        <f>R16+R161</f>
        <v>258938</v>
      </c>
      <c r="S13" s="276">
        <f>S16+S161</f>
        <v>21604</v>
      </c>
      <c r="T13" s="276">
        <f>T16+T161</f>
        <v>75139</v>
      </c>
      <c r="U13" s="275">
        <f t="shared" si="0"/>
        <v>7278143</v>
      </c>
      <c r="V13" s="644"/>
      <c r="X13" s="633">
        <f>X14+Y14</f>
        <v>2096179</v>
      </c>
      <c r="Y13" s="634"/>
      <c r="Z13" s="633">
        <f>Z14+AA14</f>
        <v>1796426</v>
      </c>
      <c r="AA13" s="634"/>
    </row>
    <row r="14" spans="1:27" s="107" customFormat="1" ht="20.25" customHeight="1">
      <c r="A14" s="350" t="s">
        <v>163</v>
      </c>
      <c r="B14" s="608" t="s">
        <v>164</v>
      </c>
      <c r="C14" s="609"/>
      <c r="D14" s="609"/>
      <c r="E14" s="610"/>
      <c r="F14" s="274">
        <f>F17+F96+F153</f>
        <v>55980111</v>
      </c>
      <c r="G14" s="273">
        <f>G17+G96+G153</f>
        <v>8264401</v>
      </c>
      <c r="H14" s="272">
        <f>H17+H96+H153</f>
        <v>11467669</v>
      </c>
      <c r="I14" s="272">
        <f>I17+I96+I153</f>
        <v>22237919</v>
      </c>
      <c r="J14" s="270">
        <f>J17+J96+J153</f>
        <v>2908900</v>
      </c>
      <c r="K14" s="271">
        <f>K17+K96+K153</f>
        <v>923100</v>
      </c>
      <c r="L14" s="270">
        <f>L17+L96+L153</f>
        <v>45801989</v>
      </c>
      <c r="M14" s="264"/>
      <c r="N14" s="596" t="s">
        <v>163</v>
      </c>
      <c r="O14" s="260">
        <f t="shared" si="1"/>
        <v>0</v>
      </c>
      <c r="P14" s="269">
        <f>P15+P16</f>
        <v>8066082</v>
      </c>
      <c r="Q14" s="269">
        <f>Q15+Q16</f>
        <v>1300101</v>
      </c>
      <c r="R14" s="269">
        <f>R17+R96+R153</f>
        <v>577444</v>
      </c>
      <c r="S14" s="268">
        <f>S17+S96+S153</f>
        <v>159356</v>
      </c>
      <c r="T14" s="268">
        <f>T17+T96+T153</f>
        <v>75139</v>
      </c>
      <c r="U14" s="267">
        <f t="shared" si="0"/>
        <v>10178122</v>
      </c>
      <c r="V14" s="596" t="s">
        <v>163</v>
      </c>
      <c r="X14" s="605">
        <f>X17+X96</f>
        <v>1939883</v>
      </c>
      <c r="Y14" s="605">
        <f>Y17+Y96</f>
        <v>156296</v>
      </c>
      <c r="Z14" s="605">
        <f>Z17+Z96</f>
        <v>942303</v>
      </c>
      <c r="AA14" s="605">
        <f>AA17+AA96</f>
        <v>854123</v>
      </c>
    </row>
    <row r="15" spans="1:27" s="107" customFormat="1" ht="20.25" customHeight="1">
      <c r="A15" s="351"/>
      <c r="B15" s="611" t="s">
        <v>24</v>
      </c>
      <c r="C15" s="612"/>
      <c r="D15" s="612"/>
      <c r="E15" s="601"/>
      <c r="F15" s="127">
        <f>F18+F97+F154</f>
        <v>11020324</v>
      </c>
      <c r="G15" s="288">
        <f aca="true" t="shared" si="2" ref="G15:K16">G18+G97</f>
        <v>2854716</v>
      </c>
      <c r="H15" s="333">
        <f t="shared" si="2"/>
        <v>2567919</v>
      </c>
      <c r="I15" s="333">
        <f t="shared" si="2"/>
        <v>865710</v>
      </c>
      <c r="J15" s="334">
        <f t="shared" si="2"/>
        <v>908900</v>
      </c>
      <c r="K15" s="335">
        <f t="shared" si="2"/>
        <v>923100</v>
      </c>
      <c r="L15" s="266">
        <f>L18+L97+L154</f>
        <v>8120345</v>
      </c>
      <c r="M15" s="264"/>
      <c r="N15" s="455"/>
      <c r="O15" s="256">
        <f t="shared" si="1"/>
        <v>0</v>
      </c>
      <c r="P15" s="256">
        <f>P18+P97+P154</f>
        <v>1679766</v>
      </c>
      <c r="Q15" s="256">
        <f>Q18+Q97+Q154</f>
        <v>763955</v>
      </c>
      <c r="R15" s="256">
        <f>R18+R97+R154</f>
        <v>318506</v>
      </c>
      <c r="S15" s="256">
        <f>S18+S97+S154</f>
        <v>137752</v>
      </c>
      <c r="T15" s="256">
        <f>T18+T97+T154</f>
        <v>0</v>
      </c>
      <c r="U15" s="255">
        <f t="shared" si="0"/>
        <v>2899979</v>
      </c>
      <c r="V15" s="455"/>
      <c r="X15" s="606"/>
      <c r="Y15" s="606"/>
      <c r="Z15" s="606"/>
      <c r="AA15" s="606"/>
    </row>
    <row r="16" spans="1:27" s="107" customFormat="1" ht="20.25" customHeight="1" thickBot="1">
      <c r="A16" s="352"/>
      <c r="B16" s="613" t="s">
        <v>23</v>
      </c>
      <c r="C16" s="614"/>
      <c r="D16" s="614"/>
      <c r="E16" s="615"/>
      <c r="F16" s="136">
        <f>F19+F98+F155</f>
        <v>44959787</v>
      </c>
      <c r="G16" s="282">
        <f t="shared" si="2"/>
        <v>5409685</v>
      </c>
      <c r="H16" s="336">
        <f t="shared" si="2"/>
        <v>8899750</v>
      </c>
      <c r="I16" s="336">
        <f t="shared" si="2"/>
        <v>21372209</v>
      </c>
      <c r="J16" s="337">
        <f t="shared" si="2"/>
        <v>2000000</v>
      </c>
      <c r="K16" s="338">
        <f t="shared" si="2"/>
        <v>0</v>
      </c>
      <c r="L16" s="265">
        <f>L19+L98+L155</f>
        <v>37681644</v>
      </c>
      <c r="M16" s="264"/>
      <c r="N16" s="561"/>
      <c r="O16" s="252">
        <f t="shared" si="1"/>
        <v>0</v>
      </c>
      <c r="P16" s="252">
        <f>P19+P98+P155</f>
        <v>6386316</v>
      </c>
      <c r="Q16" s="252">
        <f>Q19+Q98+Q155</f>
        <v>536146</v>
      </c>
      <c r="R16" s="252">
        <f>R19+R98+R155</f>
        <v>258938</v>
      </c>
      <c r="S16" s="252">
        <f>S19+S98+S155</f>
        <v>21604</v>
      </c>
      <c r="T16" s="252">
        <f>T19+T98+T155</f>
        <v>75139</v>
      </c>
      <c r="U16" s="251">
        <f t="shared" si="0"/>
        <v>7278143</v>
      </c>
      <c r="V16" s="561"/>
      <c r="X16" s="607"/>
      <c r="Y16" s="607"/>
      <c r="Z16" s="607"/>
      <c r="AA16" s="607"/>
    </row>
    <row r="17" spans="1:27" s="107" customFormat="1" ht="40.5" customHeight="1">
      <c r="A17" s="353" t="s">
        <v>162</v>
      </c>
      <c r="B17" s="616" t="s">
        <v>161</v>
      </c>
      <c r="C17" s="617"/>
      <c r="D17" s="617"/>
      <c r="E17" s="618"/>
      <c r="F17" s="263">
        <f aca="true" t="shared" si="3" ref="F17:K17">F20+F24+F28+F32+F36+F44+F52+F60+F64+F68+F72+F76+F80+F84+F88+F92</f>
        <v>11958217</v>
      </c>
      <c r="G17" s="262">
        <f t="shared" si="3"/>
        <v>4538441</v>
      </c>
      <c r="H17" s="202">
        <f t="shared" si="3"/>
        <v>3276219</v>
      </c>
      <c r="I17" s="202">
        <f t="shared" si="3"/>
        <v>154810</v>
      </c>
      <c r="J17" s="202">
        <f t="shared" si="3"/>
        <v>38000</v>
      </c>
      <c r="K17" s="261">
        <f t="shared" si="3"/>
        <v>0</v>
      </c>
      <c r="L17" s="203">
        <f>L20+L24+L28+L32+L36+L44+L52+L60+L64+L68+L371+L72+L76+L80+L84+L88+L92</f>
        <v>8007470</v>
      </c>
      <c r="M17" s="188"/>
      <c r="N17" s="596" t="s">
        <v>160</v>
      </c>
      <c r="O17" s="260">
        <f t="shared" si="1"/>
        <v>0</v>
      </c>
      <c r="P17" s="259">
        <f>P20+P24+P28+P32+P36+P44+P52+P60+P64+P68+P72+P76+P80+P84+P88+P92</f>
        <v>2291853</v>
      </c>
      <c r="Q17" s="259">
        <f>Q20+Q24+Q28+Q32+Q36+Q44+Q52+Q60+Q64+Q68+Q72+Q76+Q80+Q84+Q88+Q92</f>
        <v>873955</v>
      </c>
      <c r="R17" s="259">
        <f>R20+R24+R28+R32+R36+R44+R52+R60+R64+R68+R72+R76+R80+R84+R88+R92</f>
        <v>577444</v>
      </c>
      <c r="S17" s="259">
        <f>S20+S24+S28+S32+S36+S44+S52+S60+S64+S68+S72+S76+S80+S84+S88+S92</f>
        <v>159356</v>
      </c>
      <c r="T17" s="259">
        <f>T20+T24+T28+T32+T36+T44+T52+T60+T64+T68+T72+T76+T80+T84+T88+T92</f>
        <v>48139</v>
      </c>
      <c r="U17" s="258">
        <f>SUM(P17:T17)</f>
        <v>3950747</v>
      </c>
      <c r="V17" s="596" t="s">
        <v>160</v>
      </c>
      <c r="W17" s="108"/>
      <c r="X17" s="597">
        <f>X20+X24+X28+X32+X36+X44+X52+X60+X68+X72+X76+X80+X84+X88+X92</f>
        <v>1939883</v>
      </c>
      <c r="Y17" s="597">
        <f>Y20+Y24+Y28+Y32+Y36+Y44+Y52+Y60+Y68+Y72+Y76+Y80+Y84+Y88+Y92</f>
        <v>156296</v>
      </c>
      <c r="Z17" s="597">
        <f>Z20+Z24+Z28+Z32+Z36+Z44+Z52+Z60+Z68+Z72+Z76+Z80+Z84+Z88+Z92</f>
        <v>942303</v>
      </c>
      <c r="AA17" s="597">
        <f>AA20+AA24+AA28+AA32+AA36+AA44+AA52+AA60+AA68+AA72+AA76+AA80+AA84+AA88+AA92</f>
        <v>0</v>
      </c>
    </row>
    <row r="18" spans="1:27" s="107" customFormat="1" ht="20.25" customHeight="1">
      <c r="A18" s="351"/>
      <c r="B18" s="600" t="s">
        <v>20</v>
      </c>
      <c r="C18" s="483"/>
      <c r="D18" s="483"/>
      <c r="E18" s="601"/>
      <c r="F18" s="339">
        <f aca="true" t="shared" si="4" ref="F18:L19">F22+F26+F30+F34+F38+F46+F54+F62+F66+F70+F74+F78+F82+F86+F90+F94</f>
        <v>6517160</v>
      </c>
      <c r="G18" s="257">
        <f t="shared" si="4"/>
        <v>2212752</v>
      </c>
      <c r="H18" s="102">
        <f t="shared" si="4"/>
        <v>1696219</v>
      </c>
      <c r="I18" s="102">
        <f t="shared" si="4"/>
        <v>154810</v>
      </c>
      <c r="J18" s="102">
        <f t="shared" si="4"/>
        <v>38000</v>
      </c>
      <c r="K18" s="341">
        <f t="shared" si="4"/>
        <v>0</v>
      </c>
      <c r="L18" s="195">
        <f t="shared" si="4"/>
        <v>4101781</v>
      </c>
      <c r="M18" s="188"/>
      <c r="N18" s="360"/>
      <c r="O18" s="256">
        <f t="shared" si="1"/>
        <v>0</v>
      </c>
      <c r="P18" s="256">
        <f aca="true" t="shared" si="5" ref="P18:T19">P22+P26+P30+P34+P38+P46+P54+P62+P66+P70+P74+P78+P82+P86+P90+P94</f>
        <v>1195166</v>
      </c>
      <c r="Q18" s="256">
        <f t="shared" si="5"/>
        <v>763955</v>
      </c>
      <c r="R18" s="256">
        <f t="shared" si="5"/>
        <v>318506</v>
      </c>
      <c r="S18" s="256">
        <f t="shared" si="5"/>
        <v>137752</v>
      </c>
      <c r="T18" s="256">
        <f t="shared" si="5"/>
        <v>0</v>
      </c>
      <c r="U18" s="255">
        <f t="shared" si="0"/>
        <v>2415379</v>
      </c>
      <c r="V18" s="360"/>
      <c r="W18" s="108"/>
      <c r="X18" s="598"/>
      <c r="Y18" s="598"/>
      <c r="Z18" s="598"/>
      <c r="AA18" s="598"/>
    </row>
    <row r="19" spans="1:27" s="107" customFormat="1" ht="20.25" customHeight="1" thickBot="1">
      <c r="A19" s="352"/>
      <c r="B19" s="602" t="s">
        <v>25</v>
      </c>
      <c r="C19" s="603"/>
      <c r="D19" s="603"/>
      <c r="E19" s="604"/>
      <c r="F19" s="340">
        <f t="shared" si="4"/>
        <v>5441057</v>
      </c>
      <c r="G19" s="254">
        <f t="shared" si="4"/>
        <v>2325689</v>
      </c>
      <c r="H19" s="189">
        <f t="shared" si="4"/>
        <v>1580000</v>
      </c>
      <c r="I19" s="189">
        <f t="shared" si="4"/>
        <v>0</v>
      </c>
      <c r="J19" s="189">
        <f t="shared" si="4"/>
        <v>0</v>
      </c>
      <c r="K19" s="342">
        <f t="shared" si="4"/>
        <v>0</v>
      </c>
      <c r="L19" s="190">
        <f t="shared" si="4"/>
        <v>3905689</v>
      </c>
      <c r="M19" s="188"/>
      <c r="N19" s="361"/>
      <c r="O19" s="253">
        <f t="shared" si="1"/>
        <v>0</v>
      </c>
      <c r="P19" s="252">
        <f t="shared" si="5"/>
        <v>1096687</v>
      </c>
      <c r="Q19" s="252">
        <f t="shared" si="5"/>
        <v>110000</v>
      </c>
      <c r="R19" s="252">
        <f t="shared" si="5"/>
        <v>258938</v>
      </c>
      <c r="S19" s="252">
        <f t="shared" si="5"/>
        <v>21604</v>
      </c>
      <c r="T19" s="252">
        <f t="shared" si="5"/>
        <v>48139</v>
      </c>
      <c r="U19" s="251">
        <f t="shared" si="0"/>
        <v>1535368</v>
      </c>
      <c r="V19" s="361"/>
      <c r="W19" s="108"/>
      <c r="X19" s="599"/>
      <c r="Y19" s="599"/>
      <c r="Z19" s="599"/>
      <c r="AA19" s="599"/>
    </row>
    <row r="20" spans="1:27" s="107" customFormat="1" ht="72" customHeight="1">
      <c r="A20" s="397">
        <v>1</v>
      </c>
      <c r="B20" s="243" t="s">
        <v>159</v>
      </c>
      <c r="C20" s="422" t="s">
        <v>143</v>
      </c>
      <c r="D20" s="424" t="s">
        <v>6</v>
      </c>
      <c r="E20" s="426" t="s">
        <v>158</v>
      </c>
      <c r="F20" s="413">
        <f>2669998</f>
        <v>2669998</v>
      </c>
      <c r="G20" s="490">
        <f>1634065</f>
        <v>1634065</v>
      </c>
      <c r="H20" s="392"/>
      <c r="I20" s="392"/>
      <c r="J20" s="392"/>
      <c r="K20" s="551"/>
      <c r="L20" s="453">
        <f>G20+H20+I20+J20+K20</f>
        <v>1634065</v>
      </c>
      <c r="M20" s="143"/>
      <c r="N20" s="467" t="s">
        <v>157</v>
      </c>
      <c r="O20" s="440">
        <f t="shared" si="1"/>
        <v>0</v>
      </c>
      <c r="P20" s="369">
        <v>780933</v>
      </c>
      <c r="Q20" s="369">
        <f>Q22+Q23</f>
        <v>110000</v>
      </c>
      <c r="R20" s="369">
        <f>R22+R23</f>
        <v>145000</v>
      </c>
      <c r="S20" s="369">
        <f>S22+S23</f>
        <v>0</v>
      </c>
      <c r="T20" s="370">
        <f>T22+T23</f>
        <v>0</v>
      </c>
      <c r="U20" s="119">
        <f t="shared" si="0"/>
        <v>1035933</v>
      </c>
      <c r="V20" s="362" t="s">
        <v>156</v>
      </c>
      <c r="X20" s="593">
        <f>X22+X23</f>
        <v>0</v>
      </c>
      <c r="Y20" s="593">
        <f>Y22+Y23</f>
        <v>0</v>
      </c>
      <c r="Z20" s="594">
        <v>371456</v>
      </c>
      <c r="AA20" s="593">
        <f>AA22+AA23</f>
        <v>0</v>
      </c>
    </row>
    <row r="21" spans="1:27" s="107" customFormat="1" ht="60" customHeight="1">
      <c r="A21" s="398"/>
      <c r="B21" s="129" t="s">
        <v>155</v>
      </c>
      <c r="C21" s="418"/>
      <c r="D21" s="380"/>
      <c r="E21" s="382"/>
      <c r="F21" s="394"/>
      <c r="G21" s="491"/>
      <c r="H21" s="394"/>
      <c r="I21" s="394"/>
      <c r="J21" s="394"/>
      <c r="K21" s="461"/>
      <c r="L21" s="463"/>
      <c r="M21" s="215"/>
      <c r="N21" s="366"/>
      <c r="O21" s="549"/>
      <c r="P21" s="373"/>
      <c r="Q21" s="373"/>
      <c r="R21" s="373"/>
      <c r="S21" s="373"/>
      <c r="T21" s="575"/>
      <c r="U21" s="119"/>
      <c r="V21" s="363"/>
      <c r="X21" s="574"/>
      <c r="Y21" s="574"/>
      <c r="Z21" s="595"/>
      <c r="AA21" s="574"/>
    </row>
    <row r="22" spans="1:27" s="107" customFormat="1" ht="18.75" customHeight="1">
      <c r="A22" s="591"/>
      <c r="B22" s="128" t="s">
        <v>24</v>
      </c>
      <c r="C22" s="403"/>
      <c r="D22" s="407"/>
      <c r="E22" s="509"/>
      <c r="F22" s="127"/>
      <c r="G22" s="139"/>
      <c r="H22" s="84"/>
      <c r="I22" s="84"/>
      <c r="J22" s="84"/>
      <c r="K22" s="125"/>
      <c r="L22" s="124">
        <f>G22+H22+I22+J22+K22</f>
        <v>0</v>
      </c>
      <c r="M22" s="143"/>
      <c r="N22" s="366"/>
      <c r="O22" s="214">
        <f>F22-(G22+H22+I22+J22+K22+P22+Q22+R22+S22+T22)</f>
        <v>0</v>
      </c>
      <c r="P22" s="122"/>
      <c r="Q22" s="121"/>
      <c r="R22" s="121"/>
      <c r="S22" s="121"/>
      <c r="T22" s="137"/>
      <c r="U22" s="119">
        <f>SUM(P22:T22)</f>
        <v>0</v>
      </c>
      <c r="V22" s="363"/>
      <c r="X22" s="574"/>
      <c r="Y22" s="574"/>
      <c r="Z22" s="595"/>
      <c r="AA22" s="574"/>
    </row>
    <row r="23" spans="1:27" s="107" customFormat="1" ht="18.75" customHeight="1" thickBot="1">
      <c r="A23" s="592"/>
      <c r="B23" s="118" t="s">
        <v>23</v>
      </c>
      <c r="C23" s="404"/>
      <c r="D23" s="408"/>
      <c r="E23" s="562"/>
      <c r="F23" s="117">
        <f>2669998</f>
        <v>2669998</v>
      </c>
      <c r="G23" s="250">
        <f>1634065</f>
        <v>1634065</v>
      </c>
      <c r="H23" s="63"/>
      <c r="I23" s="63"/>
      <c r="J23" s="63"/>
      <c r="K23" s="115"/>
      <c r="L23" s="124">
        <f>G23+H23+I23+J23+K23</f>
        <v>1634065</v>
      </c>
      <c r="M23" s="143"/>
      <c r="N23" s="552"/>
      <c r="O23" s="216">
        <f>F23-(G23+H23+I23+J23+K23+P23+Q23+R23+S23+T23)</f>
        <v>0</v>
      </c>
      <c r="P23" s="152">
        <v>780933</v>
      </c>
      <c r="Q23" s="141">
        <v>110000</v>
      </c>
      <c r="R23" s="141">
        <v>145000</v>
      </c>
      <c r="S23" s="141"/>
      <c r="T23" s="140"/>
      <c r="U23" s="119">
        <f>SUM(P23:T23)</f>
        <v>1035933</v>
      </c>
      <c r="V23" s="364"/>
      <c r="X23" s="358"/>
      <c r="Y23" s="358"/>
      <c r="Z23" s="686"/>
      <c r="AA23" s="358"/>
    </row>
    <row r="24" spans="1:27" s="107" customFormat="1" ht="54" customHeight="1">
      <c r="A24" s="397">
        <v>2</v>
      </c>
      <c r="B24" s="158" t="s">
        <v>154</v>
      </c>
      <c r="C24" s="401" t="s">
        <v>153</v>
      </c>
      <c r="D24" s="405" t="s">
        <v>16</v>
      </c>
      <c r="E24" s="426" t="s">
        <v>58</v>
      </c>
      <c r="F24" s="413">
        <f>476021</f>
        <v>476021</v>
      </c>
      <c r="G24" s="490">
        <v>70500</v>
      </c>
      <c r="H24" s="392">
        <v>71000</v>
      </c>
      <c r="I24" s="392">
        <v>73000</v>
      </c>
      <c r="J24" s="392">
        <v>38000</v>
      </c>
      <c r="K24" s="459"/>
      <c r="L24" s="453">
        <f>G24+H24+I24+J24+K24</f>
        <v>252500</v>
      </c>
      <c r="M24" s="143"/>
      <c r="N24" s="467" t="s">
        <v>152</v>
      </c>
      <c r="O24" s="440">
        <f>F24-(G24+H24+I24+J24+K24+P24+Q24+R24+S24+T24)</f>
        <v>0</v>
      </c>
      <c r="P24" s="369">
        <f>P26+P27</f>
        <v>67000</v>
      </c>
      <c r="Q24" s="369">
        <f>Q26+Q27</f>
        <v>65000</v>
      </c>
      <c r="R24" s="369">
        <f>R26+R27</f>
        <v>91521</v>
      </c>
      <c r="S24" s="369">
        <f>S26+S27</f>
        <v>0</v>
      </c>
      <c r="T24" s="370">
        <f>T26+T27</f>
        <v>0</v>
      </c>
      <c r="U24" s="170">
        <f>SUM(P24:T24)</f>
        <v>223521</v>
      </c>
      <c r="V24" s="467" t="s">
        <v>151</v>
      </c>
      <c r="X24" s="573">
        <v>59925</v>
      </c>
      <c r="Y24" s="573">
        <v>10575</v>
      </c>
      <c r="Z24" s="573">
        <f>Z26+Z27</f>
        <v>0</v>
      </c>
      <c r="AA24" s="573">
        <f>AA26+AA27</f>
        <v>0</v>
      </c>
    </row>
    <row r="25" spans="1:27" s="107" customFormat="1" ht="44.25" customHeight="1">
      <c r="A25" s="398"/>
      <c r="B25" s="157" t="s">
        <v>150</v>
      </c>
      <c r="C25" s="402"/>
      <c r="D25" s="406"/>
      <c r="E25" s="382"/>
      <c r="F25" s="414"/>
      <c r="G25" s="491"/>
      <c r="H25" s="394"/>
      <c r="I25" s="394"/>
      <c r="J25" s="394"/>
      <c r="K25" s="461"/>
      <c r="L25" s="463"/>
      <c r="M25" s="215"/>
      <c r="N25" s="366"/>
      <c r="O25" s="549"/>
      <c r="P25" s="373"/>
      <c r="Q25" s="373"/>
      <c r="R25" s="373"/>
      <c r="S25" s="373"/>
      <c r="T25" s="575"/>
      <c r="U25" s="119"/>
      <c r="V25" s="366"/>
      <c r="X25" s="574"/>
      <c r="Y25" s="574"/>
      <c r="Z25" s="574"/>
      <c r="AA25" s="574"/>
    </row>
    <row r="26" spans="1:27" s="107" customFormat="1" ht="18.75" customHeight="1">
      <c r="A26" s="591"/>
      <c r="B26" s="150" t="s">
        <v>24</v>
      </c>
      <c r="C26" s="587"/>
      <c r="D26" s="589"/>
      <c r="E26" s="581"/>
      <c r="F26" s="127">
        <v>418275</v>
      </c>
      <c r="G26" s="126">
        <v>70500</v>
      </c>
      <c r="H26" s="84">
        <v>71000</v>
      </c>
      <c r="I26" s="84">
        <v>73000</v>
      </c>
      <c r="J26" s="84">
        <v>38000</v>
      </c>
      <c r="K26" s="125"/>
      <c r="L26" s="124">
        <f>G26+H26+I26+J26+K26</f>
        <v>252500</v>
      </c>
      <c r="M26" s="143"/>
      <c r="N26" s="366"/>
      <c r="O26" s="123">
        <f>F26-(G26+H26+I26+J26+K26+P26+Q26+R26+S26+T26)</f>
        <v>0</v>
      </c>
      <c r="P26" s="122">
        <v>67000</v>
      </c>
      <c r="Q26" s="121">
        <v>65000</v>
      </c>
      <c r="R26" s="121">
        <v>33775</v>
      </c>
      <c r="S26" s="121"/>
      <c r="T26" s="120"/>
      <c r="U26" s="119">
        <f>SUM(P26:T26)</f>
        <v>165775</v>
      </c>
      <c r="V26" s="366"/>
      <c r="X26" s="574"/>
      <c r="Y26" s="574"/>
      <c r="Z26" s="574"/>
      <c r="AA26" s="574"/>
    </row>
    <row r="27" spans="1:27" s="107" customFormat="1" ht="18.75" customHeight="1" thickBot="1">
      <c r="A27" s="592"/>
      <c r="B27" s="148" t="s">
        <v>23</v>
      </c>
      <c r="C27" s="588"/>
      <c r="D27" s="590"/>
      <c r="E27" s="582"/>
      <c r="F27" s="117">
        <f>57746</f>
        <v>57746</v>
      </c>
      <c r="G27" s="116"/>
      <c r="H27" s="63"/>
      <c r="I27" s="63"/>
      <c r="J27" s="63"/>
      <c r="K27" s="115"/>
      <c r="L27" s="124">
        <f>G27+H27+I27+J27+K27</f>
        <v>0</v>
      </c>
      <c r="M27" s="143"/>
      <c r="N27" s="685"/>
      <c r="O27" s="113">
        <f>F27-(G27+H27+I27+J27+K27+P27+Q27+R27+S27+T27)</f>
        <v>0</v>
      </c>
      <c r="P27" s="112"/>
      <c r="Q27" s="111"/>
      <c r="R27" s="111">
        <v>57746</v>
      </c>
      <c r="S27" s="111"/>
      <c r="T27" s="110"/>
      <c r="U27" s="109">
        <f>SUM(P27:T27)</f>
        <v>57746</v>
      </c>
      <c r="V27" s="552"/>
      <c r="X27" s="358"/>
      <c r="Y27" s="358"/>
      <c r="Z27" s="358"/>
      <c r="AA27" s="358"/>
    </row>
    <row r="28" spans="1:27" s="107" customFormat="1" ht="53.25" customHeight="1">
      <c r="A28" s="397">
        <v>3</v>
      </c>
      <c r="B28" s="243" t="s">
        <v>149</v>
      </c>
      <c r="C28" s="401" t="s">
        <v>148</v>
      </c>
      <c r="D28" s="405" t="s">
        <v>15</v>
      </c>
      <c r="E28" s="409" t="s">
        <v>142</v>
      </c>
      <c r="F28" s="413">
        <f>942374</f>
        <v>942374</v>
      </c>
      <c r="G28" s="378">
        <v>783491</v>
      </c>
      <c r="H28" s="392"/>
      <c r="I28" s="392"/>
      <c r="J28" s="392"/>
      <c r="K28" s="459"/>
      <c r="L28" s="453">
        <f>G28+H28+I28+J28+K28</f>
        <v>783491</v>
      </c>
      <c r="M28" s="143"/>
      <c r="N28" s="249" t="s">
        <v>147</v>
      </c>
      <c r="O28" s="440">
        <f>F28-(G28+H28+I28+J28+K28+P28+Q28+R28+S28+T28)</f>
        <v>0</v>
      </c>
      <c r="P28" s="369">
        <v>32948</v>
      </c>
      <c r="Q28" s="369">
        <f>Q30+Q31</f>
        <v>0</v>
      </c>
      <c r="R28" s="369">
        <f>R30+R31</f>
        <v>56192</v>
      </c>
      <c r="S28" s="369">
        <f>S30+S31</f>
        <v>21604</v>
      </c>
      <c r="T28" s="370">
        <f>T30+T31</f>
        <v>48139</v>
      </c>
      <c r="U28" s="170">
        <f>SUM(P28:T28)</f>
        <v>158883</v>
      </c>
      <c r="V28" s="362" t="s">
        <v>146</v>
      </c>
      <c r="X28" s="573">
        <v>95121</v>
      </c>
      <c r="Y28" s="573">
        <f>Y30+Y31</f>
        <v>0</v>
      </c>
      <c r="Z28" s="573">
        <v>570847</v>
      </c>
      <c r="AA28" s="573">
        <f>AA30+AA31</f>
        <v>0</v>
      </c>
    </row>
    <row r="29" spans="1:27" s="107" customFormat="1" ht="36.75" customHeight="1">
      <c r="A29" s="398"/>
      <c r="B29" s="242" t="s">
        <v>145</v>
      </c>
      <c r="C29" s="402"/>
      <c r="D29" s="406"/>
      <c r="E29" s="410"/>
      <c r="F29" s="394"/>
      <c r="G29" s="438"/>
      <c r="H29" s="394"/>
      <c r="I29" s="394"/>
      <c r="J29" s="394"/>
      <c r="K29" s="461"/>
      <c r="L29" s="463"/>
      <c r="M29" s="215"/>
      <c r="N29" s="180"/>
      <c r="O29" s="549"/>
      <c r="P29" s="373"/>
      <c r="Q29" s="373"/>
      <c r="R29" s="373"/>
      <c r="S29" s="373"/>
      <c r="T29" s="575"/>
      <c r="U29" s="119"/>
      <c r="V29" s="363"/>
      <c r="X29" s="574"/>
      <c r="Y29" s="574"/>
      <c r="Z29" s="574"/>
      <c r="AA29" s="574"/>
    </row>
    <row r="30" spans="1:27" s="107" customFormat="1" ht="18.75" customHeight="1">
      <c r="A30" s="591"/>
      <c r="B30" s="150" t="s">
        <v>24</v>
      </c>
      <c r="C30" s="403"/>
      <c r="D30" s="407"/>
      <c r="E30" s="665"/>
      <c r="F30" s="127">
        <f>139037</f>
        <v>139037</v>
      </c>
      <c r="G30" s="126">
        <v>111867</v>
      </c>
      <c r="H30" s="84"/>
      <c r="I30" s="84"/>
      <c r="J30" s="84"/>
      <c r="K30" s="125"/>
      <c r="L30" s="124">
        <f>G30+H30+I30+J30+K30</f>
        <v>111867</v>
      </c>
      <c r="M30" s="143"/>
      <c r="N30" s="173"/>
      <c r="O30" s="123">
        <f>F30-(G30+H30+I30+J30+K30+P30+Q30+R30+S30+T30)</f>
        <v>0</v>
      </c>
      <c r="P30" s="122">
        <v>27170</v>
      </c>
      <c r="Q30" s="121">
        <v>0</v>
      </c>
      <c r="R30" s="121">
        <v>0</v>
      </c>
      <c r="S30" s="248">
        <v>0</v>
      </c>
      <c r="T30" s="247">
        <v>0</v>
      </c>
      <c r="U30" s="119">
        <f>SUM(P30:T30)</f>
        <v>27170</v>
      </c>
      <c r="V30" s="363"/>
      <c r="X30" s="574"/>
      <c r="Y30" s="574"/>
      <c r="Z30" s="574"/>
      <c r="AA30" s="574"/>
    </row>
    <row r="31" spans="1:27" s="107" customFormat="1" ht="18.75" customHeight="1" thickBot="1">
      <c r="A31" s="592"/>
      <c r="B31" s="148" t="s">
        <v>23</v>
      </c>
      <c r="C31" s="404"/>
      <c r="D31" s="408"/>
      <c r="E31" s="666"/>
      <c r="F31" s="117">
        <f>803337</f>
        <v>803337</v>
      </c>
      <c r="G31" s="116">
        <v>671624</v>
      </c>
      <c r="H31" s="63"/>
      <c r="I31" s="63"/>
      <c r="J31" s="63"/>
      <c r="K31" s="115"/>
      <c r="L31" s="114">
        <f>G31+H31+I31+J31+K31</f>
        <v>671624</v>
      </c>
      <c r="M31" s="143"/>
      <c r="N31" s="246"/>
      <c r="O31" s="113">
        <f>F31-(G31+H31+I31+J31+K31+P31+Q31+R31+S31+T31)</f>
        <v>0</v>
      </c>
      <c r="P31" s="152">
        <v>5778</v>
      </c>
      <c r="Q31" s="141">
        <v>0</v>
      </c>
      <c r="R31" s="141">
        <v>56192</v>
      </c>
      <c r="S31" s="245">
        <v>21604</v>
      </c>
      <c r="T31" s="244">
        <v>48139</v>
      </c>
      <c r="U31" s="109">
        <f>SUM(P31:T31)</f>
        <v>131713</v>
      </c>
      <c r="V31" s="364"/>
      <c r="X31" s="358"/>
      <c r="Y31" s="358"/>
      <c r="Z31" s="358"/>
      <c r="AA31" s="358"/>
    </row>
    <row r="32" spans="1:27" s="107" customFormat="1" ht="90.75" customHeight="1">
      <c r="A32" s="397">
        <v>4</v>
      </c>
      <c r="B32" s="243" t="s">
        <v>144</v>
      </c>
      <c r="C32" s="401" t="s">
        <v>143</v>
      </c>
      <c r="D32" s="405" t="s">
        <v>14</v>
      </c>
      <c r="E32" s="409" t="s">
        <v>142</v>
      </c>
      <c r="F32" s="413">
        <f>48750</f>
        <v>48750</v>
      </c>
      <c r="G32" s="378">
        <v>12554</v>
      </c>
      <c r="H32" s="392"/>
      <c r="I32" s="392"/>
      <c r="J32" s="392"/>
      <c r="K32" s="459"/>
      <c r="L32" s="453">
        <f>G32+H32+I32+J32+K32</f>
        <v>12554</v>
      </c>
      <c r="M32" s="143"/>
      <c r="N32" s="583" t="s">
        <v>141</v>
      </c>
      <c r="O32" s="440">
        <f>F32-(G32+H32+I32+J32+K32+P32+Q32+R32+S32+T32)</f>
        <v>0</v>
      </c>
      <c r="P32" s="369">
        <v>21552</v>
      </c>
      <c r="Q32" s="369">
        <f>Q34+Q35</f>
        <v>12552</v>
      </c>
      <c r="R32" s="369">
        <f>R34+R35</f>
        <v>2092</v>
      </c>
      <c r="S32" s="369">
        <f>S34+S35</f>
        <v>0</v>
      </c>
      <c r="T32" s="370">
        <f>T34+T35</f>
        <v>0</v>
      </c>
      <c r="U32" s="170">
        <f>SUM(P32:T32)</f>
        <v>36196</v>
      </c>
      <c r="V32" s="362" t="s">
        <v>140</v>
      </c>
      <c r="X32" s="573">
        <v>10671</v>
      </c>
      <c r="Y32" s="573">
        <v>1883</v>
      </c>
      <c r="Z32" s="573">
        <f>Z34+Z35</f>
        <v>0</v>
      </c>
      <c r="AA32" s="573">
        <f>AA34+AA35</f>
        <v>0</v>
      </c>
    </row>
    <row r="33" spans="1:27" s="107" customFormat="1" ht="56.25" customHeight="1">
      <c r="A33" s="398"/>
      <c r="B33" s="242" t="s">
        <v>139</v>
      </c>
      <c r="C33" s="402"/>
      <c r="D33" s="406"/>
      <c r="E33" s="410"/>
      <c r="F33" s="394"/>
      <c r="G33" s="429"/>
      <c r="H33" s="394"/>
      <c r="I33" s="394"/>
      <c r="J33" s="394"/>
      <c r="K33" s="461"/>
      <c r="L33" s="463"/>
      <c r="M33" s="215"/>
      <c r="N33" s="584"/>
      <c r="O33" s="549"/>
      <c r="P33" s="373"/>
      <c r="Q33" s="373"/>
      <c r="R33" s="373"/>
      <c r="S33" s="373"/>
      <c r="T33" s="575"/>
      <c r="U33" s="119"/>
      <c r="V33" s="363"/>
      <c r="X33" s="574"/>
      <c r="Y33" s="574"/>
      <c r="Z33" s="574"/>
      <c r="AA33" s="574"/>
    </row>
    <row r="34" spans="1:27" s="107" customFormat="1" ht="18.75" customHeight="1">
      <c r="A34" s="585"/>
      <c r="B34" s="150" t="s">
        <v>24</v>
      </c>
      <c r="C34" s="587"/>
      <c r="D34" s="589"/>
      <c r="E34" s="581"/>
      <c r="F34" s="127">
        <f>48750</f>
        <v>48750</v>
      </c>
      <c r="G34" s="126">
        <v>12554</v>
      </c>
      <c r="H34" s="84"/>
      <c r="I34" s="84"/>
      <c r="J34" s="84"/>
      <c r="K34" s="125"/>
      <c r="L34" s="124">
        <f>G34+H34+I34+J34+K34</f>
        <v>12554</v>
      </c>
      <c r="M34" s="143"/>
      <c r="N34" s="584"/>
      <c r="O34" s="123">
        <f>F34-(G34+H34+I34+J34+K34+P34+Q34+R34+S34+T34)</f>
        <v>0</v>
      </c>
      <c r="P34" s="122">
        <v>21552</v>
      </c>
      <c r="Q34" s="121">
        <v>12552</v>
      </c>
      <c r="R34" s="121">
        <v>2092</v>
      </c>
      <c r="S34" s="121"/>
      <c r="T34" s="137"/>
      <c r="U34" s="119">
        <f>SUM(P34:T34)</f>
        <v>36196</v>
      </c>
      <c r="V34" s="363"/>
      <c r="X34" s="574"/>
      <c r="Y34" s="574"/>
      <c r="Z34" s="574"/>
      <c r="AA34" s="574"/>
    </row>
    <row r="35" spans="1:27" s="107" customFormat="1" ht="18.75" customHeight="1" thickBot="1">
      <c r="A35" s="586"/>
      <c r="B35" s="148" t="s">
        <v>23</v>
      </c>
      <c r="C35" s="588"/>
      <c r="D35" s="590"/>
      <c r="E35" s="582"/>
      <c r="F35" s="117"/>
      <c r="G35" s="212"/>
      <c r="H35" s="63"/>
      <c r="I35" s="63"/>
      <c r="J35" s="63"/>
      <c r="K35" s="115"/>
      <c r="L35" s="114">
        <f>G35+H35+I35+J35+K35</f>
        <v>0</v>
      </c>
      <c r="M35" s="143"/>
      <c r="N35" s="684"/>
      <c r="O35" s="113">
        <f>F35-(G35+H35+I35+J35+K35+P35+Q35+R35+S35+T35)</f>
        <v>0</v>
      </c>
      <c r="P35" s="152"/>
      <c r="Q35" s="141"/>
      <c r="R35" s="141"/>
      <c r="S35" s="141"/>
      <c r="T35" s="140"/>
      <c r="U35" s="119">
        <f>SUM(P35:T35)</f>
        <v>0</v>
      </c>
      <c r="V35" s="364"/>
      <c r="X35" s="358"/>
      <c r="Y35" s="358"/>
      <c r="Z35" s="358"/>
      <c r="AA35" s="358"/>
    </row>
    <row r="36" spans="1:27" s="107" customFormat="1" ht="57" customHeight="1">
      <c r="A36" s="397">
        <v>5</v>
      </c>
      <c r="B36" s="234" t="s">
        <v>138</v>
      </c>
      <c r="C36" s="577" t="s">
        <v>131</v>
      </c>
      <c r="D36" s="580"/>
      <c r="E36" s="409" t="s">
        <v>135</v>
      </c>
      <c r="F36" s="413">
        <f>F38+F39</f>
        <v>302000</v>
      </c>
      <c r="G36" s="392">
        <f>G38+G39</f>
        <v>44393</v>
      </c>
      <c r="H36" s="392"/>
      <c r="I36" s="392"/>
      <c r="J36" s="392"/>
      <c r="K36" s="576"/>
      <c r="L36" s="453">
        <f>G36+H36+I36+J36+K36</f>
        <v>44393</v>
      </c>
      <c r="M36" s="143"/>
      <c r="N36" s="362" t="s">
        <v>124</v>
      </c>
      <c r="O36" s="440">
        <f>F36-(G36+H36+I36+J36+K36+P36+Q36+R36+S36+T36)</f>
        <v>0</v>
      </c>
      <c r="P36" s="369">
        <f>P38+P39</f>
        <v>154432</v>
      </c>
      <c r="Q36" s="369">
        <f>Q38+Q39</f>
        <v>103175</v>
      </c>
      <c r="R36" s="369">
        <f>R42+R43</f>
        <v>0</v>
      </c>
      <c r="S36" s="369">
        <f>S42+S43</f>
        <v>0</v>
      </c>
      <c r="T36" s="370">
        <f>T42+T43</f>
        <v>0</v>
      </c>
      <c r="U36" s="241">
        <f>SUM(P36:T36)</f>
        <v>257607</v>
      </c>
      <c r="V36" s="467" t="s">
        <v>191</v>
      </c>
      <c r="X36" s="573">
        <v>37734</v>
      </c>
      <c r="Y36" s="573">
        <f>Y42+Y43</f>
        <v>0</v>
      </c>
      <c r="Z36" s="573">
        <f>Z42+Z43</f>
        <v>0</v>
      </c>
      <c r="AA36" s="573">
        <f>AA42+AA43</f>
        <v>0</v>
      </c>
    </row>
    <row r="37" spans="1:27" s="107" customFormat="1" ht="39.75" customHeight="1">
      <c r="A37" s="398"/>
      <c r="B37" s="233" t="s">
        <v>137</v>
      </c>
      <c r="C37" s="570"/>
      <c r="D37" s="568"/>
      <c r="E37" s="410"/>
      <c r="F37" s="386"/>
      <c r="G37" s="396"/>
      <c r="H37" s="396"/>
      <c r="I37" s="396"/>
      <c r="J37" s="396"/>
      <c r="K37" s="545"/>
      <c r="L37" s="546"/>
      <c r="M37" s="215"/>
      <c r="N37" s="363"/>
      <c r="O37" s="549"/>
      <c r="P37" s="373"/>
      <c r="Q37" s="373"/>
      <c r="R37" s="373"/>
      <c r="S37" s="373"/>
      <c r="T37" s="575"/>
      <c r="U37" s="235"/>
      <c r="V37" s="366"/>
      <c r="X37" s="574"/>
      <c r="Y37" s="574"/>
      <c r="Z37" s="574"/>
      <c r="AA37" s="574"/>
    </row>
    <row r="38" spans="1:27" s="107" customFormat="1" ht="18.75" customHeight="1">
      <c r="A38" s="398"/>
      <c r="B38" s="150" t="s">
        <v>127</v>
      </c>
      <c r="C38" s="570"/>
      <c r="D38" s="568"/>
      <c r="E38" s="410"/>
      <c r="F38" s="224">
        <f>F40+F42</f>
        <v>302000</v>
      </c>
      <c r="G38" s="126">
        <f>G40+G42</f>
        <v>44393</v>
      </c>
      <c r="H38" s="84"/>
      <c r="I38" s="84"/>
      <c r="J38" s="138"/>
      <c r="K38" s="125"/>
      <c r="L38" s="124">
        <f aca="true" t="shared" si="6" ref="L38:L44">G38+H38+I38+J38+K38</f>
        <v>44393</v>
      </c>
      <c r="M38" s="143"/>
      <c r="N38" s="363"/>
      <c r="O38" s="123">
        <f aca="true" t="shared" si="7" ref="O38:O44">F38-(G38+H38+I38+J38+K38+P38+Q38+R38+S38+T38)</f>
        <v>0</v>
      </c>
      <c r="P38" s="121">
        <f>P40+P42</f>
        <v>154432</v>
      </c>
      <c r="Q38" s="121">
        <f>Q40+Q42</f>
        <v>103175</v>
      </c>
      <c r="R38" s="121"/>
      <c r="S38" s="121"/>
      <c r="T38" s="120"/>
      <c r="U38" s="235">
        <f aca="true" t="shared" si="8" ref="U38:U44">SUM(P38:T38)</f>
        <v>257607</v>
      </c>
      <c r="V38" s="366"/>
      <c r="X38" s="574"/>
      <c r="Y38" s="574"/>
      <c r="Z38" s="574"/>
      <c r="AA38" s="574"/>
    </row>
    <row r="39" spans="1:27" s="107" customFormat="1" ht="18.75" customHeight="1">
      <c r="A39" s="398"/>
      <c r="B39" s="232" t="s">
        <v>126</v>
      </c>
      <c r="C39" s="570"/>
      <c r="D39" s="406"/>
      <c r="E39" s="410"/>
      <c r="F39" s="240"/>
      <c r="G39" s="239"/>
      <c r="H39" s="238"/>
      <c r="I39" s="238"/>
      <c r="J39" s="237"/>
      <c r="K39" s="236"/>
      <c r="L39" s="226">
        <f t="shared" si="6"/>
        <v>0</v>
      </c>
      <c r="M39" s="143"/>
      <c r="N39" s="363"/>
      <c r="O39" s="123">
        <f t="shared" si="7"/>
        <v>0</v>
      </c>
      <c r="P39" s="121">
        <f>P41+P43</f>
        <v>0</v>
      </c>
      <c r="Q39" s="121"/>
      <c r="R39" s="121"/>
      <c r="S39" s="121"/>
      <c r="T39" s="120"/>
      <c r="U39" s="235">
        <f t="shared" si="8"/>
        <v>0</v>
      </c>
      <c r="V39" s="366"/>
      <c r="X39" s="358"/>
      <c r="Y39" s="574"/>
      <c r="Z39" s="574"/>
      <c r="AA39" s="574"/>
    </row>
    <row r="40" spans="1:27" s="107" customFormat="1" ht="18.75" customHeight="1">
      <c r="A40" s="398"/>
      <c r="B40" s="225" t="s">
        <v>24</v>
      </c>
      <c r="C40" s="570"/>
      <c r="D40" s="518" t="s">
        <v>14</v>
      </c>
      <c r="E40" s="410"/>
      <c r="F40" s="224">
        <v>6100</v>
      </c>
      <c r="G40" s="223">
        <v>3000</v>
      </c>
      <c r="H40" s="222"/>
      <c r="I40" s="222"/>
      <c r="J40" s="221"/>
      <c r="K40" s="220"/>
      <c r="L40" s="219">
        <f t="shared" si="6"/>
        <v>3000</v>
      </c>
      <c r="M40" s="143"/>
      <c r="N40" s="363"/>
      <c r="O40" s="123">
        <f t="shared" si="7"/>
        <v>0</v>
      </c>
      <c r="P40" s="121">
        <v>3100</v>
      </c>
      <c r="Q40" s="121">
        <v>0</v>
      </c>
      <c r="R40" s="121"/>
      <c r="S40" s="121"/>
      <c r="T40" s="120"/>
      <c r="U40" s="235">
        <f t="shared" si="8"/>
        <v>3100</v>
      </c>
      <c r="V40" s="366"/>
      <c r="X40" s="573">
        <v>2550</v>
      </c>
      <c r="Y40" s="574"/>
      <c r="Z40" s="574"/>
      <c r="AA40" s="574"/>
    </row>
    <row r="41" spans="1:27" s="107" customFormat="1" ht="18.75" customHeight="1">
      <c r="A41" s="398"/>
      <c r="B41" s="218" t="s">
        <v>23</v>
      </c>
      <c r="C41" s="570"/>
      <c r="D41" s="518"/>
      <c r="E41" s="410"/>
      <c r="F41" s="224"/>
      <c r="G41" s="126"/>
      <c r="H41" s="84"/>
      <c r="I41" s="84"/>
      <c r="J41" s="138"/>
      <c r="K41" s="125"/>
      <c r="L41" s="124">
        <f t="shared" si="6"/>
        <v>0</v>
      </c>
      <c r="M41" s="143"/>
      <c r="N41" s="363"/>
      <c r="O41" s="123">
        <f t="shared" si="7"/>
        <v>0</v>
      </c>
      <c r="P41" s="121"/>
      <c r="Q41" s="121"/>
      <c r="R41" s="121"/>
      <c r="S41" s="121"/>
      <c r="T41" s="120"/>
      <c r="U41" s="235">
        <f t="shared" si="8"/>
        <v>0</v>
      </c>
      <c r="V41" s="366"/>
      <c r="X41" s="358"/>
      <c r="Y41" s="574"/>
      <c r="Z41" s="574"/>
      <c r="AA41" s="574"/>
    </row>
    <row r="42" spans="1:27" s="107" customFormat="1" ht="18.75" customHeight="1">
      <c r="A42" s="585"/>
      <c r="B42" s="218" t="s">
        <v>24</v>
      </c>
      <c r="C42" s="578"/>
      <c r="D42" s="518" t="s">
        <v>11</v>
      </c>
      <c r="E42" s="581"/>
      <c r="F42" s="127">
        <v>295900</v>
      </c>
      <c r="G42" s="183">
        <v>41393</v>
      </c>
      <c r="H42" s="84"/>
      <c r="I42" s="84"/>
      <c r="J42" s="138"/>
      <c r="K42" s="125"/>
      <c r="L42" s="124">
        <f t="shared" si="6"/>
        <v>41393</v>
      </c>
      <c r="M42" s="143"/>
      <c r="N42" s="363"/>
      <c r="O42" s="123">
        <f t="shared" si="7"/>
        <v>0</v>
      </c>
      <c r="P42" s="122">
        <v>151332</v>
      </c>
      <c r="Q42" s="121">
        <v>103175</v>
      </c>
      <c r="R42" s="121"/>
      <c r="S42" s="121"/>
      <c r="T42" s="120"/>
      <c r="U42" s="235">
        <f t="shared" si="8"/>
        <v>254507</v>
      </c>
      <c r="V42" s="366"/>
      <c r="X42" s="670">
        <v>35184</v>
      </c>
      <c r="Y42" s="574"/>
      <c r="Z42" s="574"/>
      <c r="AA42" s="574"/>
    </row>
    <row r="43" spans="1:27" s="107" customFormat="1" ht="18.75" customHeight="1" thickBot="1">
      <c r="A43" s="586"/>
      <c r="B43" s="217" t="s">
        <v>23</v>
      </c>
      <c r="C43" s="579"/>
      <c r="D43" s="519"/>
      <c r="E43" s="582"/>
      <c r="F43" s="117"/>
      <c r="G43" s="116"/>
      <c r="H43" s="63"/>
      <c r="I43" s="63"/>
      <c r="J43" s="208"/>
      <c r="K43" s="115"/>
      <c r="L43" s="114">
        <f t="shared" si="6"/>
        <v>0</v>
      </c>
      <c r="M43" s="143"/>
      <c r="N43" s="364"/>
      <c r="O43" s="113">
        <f t="shared" si="7"/>
        <v>0</v>
      </c>
      <c r="P43" s="112"/>
      <c r="Q43" s="111"/>
      <c r="R43" s="111"/>
      <c r="S43" s="111"/>
      <c r="T43" s="110"/>
      <c r="U43" s="235">
        <f t="shared" si="8"/>
        <v>0</v>
      </c>
      <c r="V43" s="552"/>
      <c r="X43" s="548"/>
      <c r="Y43" s="358"/>
      <c r="Z43" s="358"/>
      <c r="AA43" s="358"/>
    </row>
    <row r="44" spans="1:27" s="107" customFormat="1" ht="41.25" customHeight="1">
      <c r="A44" s="397">
        <v>6</v>
      </c>
      <c r="B44" s="234" t="s">
        <v>136</v>
      </c>
      <c r="C44" s="401" t="s">
        <v>44</v>
      </c>
      <c r="D44" s="405"/>
      <c r="E44" s="556" t="s">
        <v>135</v>
      </c>
      <c r="F44" s="413">
        <f>182388</f>
        <v>182388</v>
      </c>
      <c r="G44" s="378">
        <f>G46+G47</f>
        <v>99580</v>
      </c>
      <c r="H44" s="392"/>
      <c r="I44" s="392"/>
      <c r="J44" s="392"/>
      <c r="K44" s="459"/>
      <c r="L44" s="453">
        <f t="shared" si="6"/>
        <v>99580</v>
      </c>
      <c r="M44" s="143"/>
      <c r="N44" s="553" t="s">
        <v>134</v>
      </c>
      <c r="O44" s="440">
        <f t="shared" si="7"/>
        <v>0</v>
      </c>
      <c r="P44" s="369">
        <f>P46+P47</f>
        <v>82808</v>
      </c>
      <c r="Q44" s="369"/>
      <c r="R44" s="369"/>
      <c r="S44" s="369"/>
      <c r="T44" s="370"/>
      <c r="U44" s="170">
        <f t="shared" si="8"/>
        <v>82808</v>
      </c>
      <c r="V44" s="467" t="s">
        <v>192</v>
      </c>
      <c r="X44" s="670">
        <f>X48+X50</f>
        <v>80764</v>
      </c>
      <c r="Y44" s="670">
        <f>Y48+Y50</f>
        <v>14252</v>
      </c>
      <c r="Z44" s="670">
        <v>0</v>
      </c>
      <c r="AA44" s="670">
        <v>0</v>
      </c>
    </row>
    <row r="45" spans="1:27" s="107" customFormat="1" ht="57.75" customHeight="1">
      <c r="A45" s="398"/>
      <c r="B45" s="233" t="s">
        <v>133</v>
      </c>
      <c r="C45" s="402"/>
      <c r="D45" s="406"/>
      <c r="E45" s="557"/>
      <c r="F45" s="414"/>
      <c r="G45" s="429"/>
      <c r="H45" s="394"/>
      <c r="I45" s="394"/>
      <c r="J45" s="394"/>
      <c r="K45" s="461"/>
      <c r="L45" s="463"/>
      <c r="M45" s="215"/>
      <c r="N45" s="441"/>
      <c r="O45" s="549"/>
      <c r="P45" s="373"/>
      <c r="Q45" s="373"/>
      <c r="R45" s="373"/>
      <c r="S45" s="373"/>
      <c r="T45" s="575"/>
      <c r="U45" s="119"/>
      <c r="V45" s="366"/>
      <c r="X45" s="671"/>
      <c r="Y45" s="671"/>
      <c r="Z45" s="671"/>
      <c r="AA45" s="671"/>
    </row>
    <row r="46" spans="1:27" s="107" customFormat="1" ht="18.75" customHeight="1">
      <c r="A46" s="398"/>
      <c r="B46" s="150" t="s">
        <v>127</v>
      </c>
      <c r="C46" s="515"/>
      <c r="D46" s="527"/>
      <c r="E46" s="558"/>
      <c r="F46" s="127">
        <f>182388</f>
        <v>182388</v>
      </c>
      <c r="G46" s="126">
        <f>G48+G50</f>
        <v>99580</v>
      </c>
      <c r="H46" s="84"/>
      <c r="I46" s="84"/>
      <c r="J46" s="138"/>
      <c r="K46" s="125"/>
      <c r="L46" s="124">
        <f aca="true" t="shared" si="9" ref="L46:L52">G46+H46+I46+J46+K46</f>
        <v>99580</v>
      </c>
      <c r="M46" s="143"/>
      <c r="N46" s="441"/>
      <c r="O46" s="123">
        <f aca="true" t="shared" si="10" ref="O46:O52">F46-(G46+H46+I46+J46+K46+P46+Q46+R46+S46+T46)</f>
        <v>0</v>
      </c>
      <c r="P46" s="121">
        <f>P48+P50</f>
        <v>82808</v>
      </c>
      <c r="Q46" s="121"/>
      <c r="R46" s="121"/>
      <c r="S46" s="121"/>
      <c r="T46" s="137"/>
      <c r="U46" s="119">
        <f aca="true" t="shared" si="11" ref="U46:U52">SUM(P46:T46)</f>
        <v>82808</v>
      </c>
      <c r="V46" s="366"/>
      <c r="X46" s="671"/>
      <c r="Y46" s="671"/>
      <c r="Z46" s="671"/>
      <c r="AA46" s="671"/>
    </row>
    <row r="47" spans="1:27" s="107" customFormat="1" ht="18.75" customHeight="1">
      <c r="A47" s="398"/>
      <c r="B47" s="232" t="s">
        <v>126</v>
      </c>
      <c r="C47" s="515"/>
      <c r="D47" s="527"/>
      <c r="E47" s="558"/>
      <c r="F47" s="231"/>
      <c r="G47" s="230"/>
      <c r="H47" s="229"/>
      <c r="I47" s="229"/>
      <c r="J47" s="228"/>
      <c r="K47" s="227"/>
      <c r="L47" s="226">
        <f t="shared" si="9"/>
        <v>0</v>
      </c>
      <c r="M47" s="143"/>
      <c r="N47" s="441"/>
      <c r="O47" s="123">
        <f t="shared" si="10"/>
        <v>0</v>
      </c>
      <c r="P47" s="121"/>
      <c r="Q47" s="121"/>
      <c r="R47" s="121"/>
      <c r="S47" s="121"/>
      <c r="T47" s="137"/>
      <c r="U47" s="119">
        <f t="shared" si="11"/>
        <v>0</v>
      </c>
      <c r="V47" s="366"/>
      <c r="X47" s="548"/>
      <c r="Y47" s="548"/>
      <c r="Z47" s="548"/>
      <c r="AA47" s="548"/>
    </row>
    <row r="48" spans="1:27" s="107" customFormat="1" ht="18.75" customHeight="1">
      <c r="A48" s="398"/>
      <c r="B48" s="225" t="s">
        <v>24</v>
      </c>
      <c r="C48" s="515"/>
      <c r="D48" s="518" t="s">
        <v>13</v>
      </c>
      <c r="E48" s="558"/>
      <c r="F48" s="224">
        <v>17955</v>
      </c>
      <c r="G48" s="223">
        <f>5740</f>
        <v>5740</v>
      </c>
      <c r="H48" s="222"/>
      <c r="I48" s="222"/>
      <c r="J48" s="221"/>
      <c r="K48" s="220"/>
      <c r="L48" s="219">
        <f t="shared" si="9"/>
        <v>5740</v>
      </c>
      <c r="M48" s="143"/>
      <c r="N48" s="441"/>
      <c r="O48" s="123">
        <f t="shared" si="10"/>
        <v>0</v>
      </c>
      <c r="P48" s="121">
        <v>12215</v>
      </c>
      <c r="Q48" s="121"/>
      <c r="R48" s="121"/>
      <c r="S48" s="121"/>
      <c r="T48" s="137"/>
      <c r="U48" s="119">
        <f t="shared" si="11"/>
        <v>12215</v>
      </c>
      <c r="V48" s="366"/>
      <c r="X48" s="670">
        <v>4879</v>
      </c>
      <c r="Y48" s="670">
        <v>861</v>
      </c>
      <c r="Z48" s="670">
        <v>0</v>
      </c>
      <c r="AA48" s="670">
        <v>0</v>
      </c>
    </row>
    <row r="49" spans="1:27" s="107" customFormat="1" ht="18.75" customHeight="1">
      <c r="A49" s="398"/>
      <c r="B49" s="218" t="s">
        <v>23</v>
      </c>
      <c r="C49" s="515"/>
      <c r="D49" s="527"/>
      <c r="E49" s="558"/>
      <c r="F49" s="127"/>
      <c r="G49" s="126"/>
      <c r="H49" s="84"/>
      <c r="I49" s="84"/>
      <c r="J49" s="138"/>
      <c r="K49" s="125"/>
      <c r="L49" s="124">
        <f t="shared" si="9"/>
        <v>0</v>
      </c>
      <c r="M49" s="143"/>
      <c r="N49" s="441"/>
      <c r="O49" s="123">
        <f t="shared" si="10"/>
        <v>0</v>
      </c>
      <c r="P49" s="121"/>
      <c r="Q49" s="121"/>
      <c r="R49" s="121"/>
      <c r="S49" s="121"/>
      <c r="T49" s="137"/>
      <c r="U49" s="119">
        <f t="shared" si="11"/>
        <v>0</v>
      </c>
      <c r="V49" s="366"/>
      <c r="X49" s="548"/>
      <c r="Y49" s="548"/>
      <c r="Z49" s="548"/>
      <c r="AA49" s="548"/>
    </row>
    <row r="50" spans="1:27" s="107" customFormat="1" ht="18.75" customHeight="1">
      <c r="A50" s="398"/>
      <c r="B50" s="218" t="s">
        <v>24</v>
      </c>
      <c r="C50" s="403"/>
      <c r="D50" s="518" t="s">
        <v>12</v>
      </c>
      <c r="E50" s="559"/>
      <c r="F50" s="127">
        <v>164433</v>
      </c>
      <c r="G50" s="126">
        <f>93840</f>
        <v>93840</v>
      </c>
      <c r="H50" s="84"/>
      <c r="I50" s="84"/>
      <c r="J50" s="138"/>
      <c r="K50" s="125"/>
      <c r="L50" s="124">
        <f t="shared" si="9"/>
        <v>93840</v>
      </c>
      <c r="M50" s="143"/>
      <c r="N50" s="441"/>
      <c r="O50" s="123">
        <f t="shared" si="10"/>
        <v>0</v>
      </c>
      <c r="P50" s="121">
        <v>70593</v>
      </c>
      <c r="Q50" s="121"/>
      <c r="R50" s="121"/>
      <c r="S50" s="121"/>
      <c r="T50" s="137"/>
      <c r="U50" s="119">
        <f t="shared" si="11"/>
        <v>70593</v>
      </c>
      <c r="V50" s="366"/>
      <c r="X50" s="670">
        <v>75885</v>
      </c>
      <c r="Y50" s="670">
        <v>13391</v>
      </c>
      <c r="Z50" s="670">
        <v>0</v>
      </c>
      <c r="AA50" s="670">
        <v>0</v>
      </c>
    </row>
    <row r="51" spans="1:27" s="107" customFormat="1" ht="18.75" customHeight="1" thickBot="1">
      <c r="A51" s="499"/>
      <c r="B51" s="217" t="s">
        <v>23</v>
      </c>
      <c r="C51" s="404"/>
      <c r="D51" s="519"/>
      <c r="E51" s="560"/>
      <c r="F51" s="117"/>
      <c r="G51" s="116"/>
      <c r="H51" s="63"/>
      <c r="I51" s="63"/>
      <c r="J51" s="208"/>
      <c r="K51" s="115"/>
      <c r="L51" s="114">
        <f t="shared" si="9"/>
        <v>0</v>
      </c>
      <c r="M51" s="143"/>
      <c r="N51" s="554"/>
      <c r="O51" s="113">
        <f t="shared" si="10"/>
        <v>0</v>
      </c>
      <c r="P51" s="111"/>
      <c r="Q51" s="111"/>
      <c r="R51" s="111"/>
      <c r="S51" s="111"/>
      <c r="T51" s="132"/>
      <c r="U51" s="109">
        <f t="shared" si="11"/>
        <v>0</v>
      </c>
      <c r="V51" s="552"/>
      <c r="X51" s="548"/>
      <c r="Y51" s="548"/>
      <c r="Z51" s="548"/>
      <c r="AA51" s="548"/>
    </row>
    <row r="52" spans="1:27" s="107" customFormat="1" ht="48" customHeight="1">
      <c r="A52" s="397">
        <v>7</v>
      </c>
      <c r="B52" s="234" t="s">
        <v>132</v>
      </c>
      <c r="C52" s="422" t="s">
        <v>131</v>
      </c>
      <c r="D52" s="424"/>
      <c r="E52" s="565" t="s">
        <v>130</v>
      </c>
      <c r="F52" s="413">
        <f>325224</f>
        <v>325224</v>
      </c>
      <c r="G52" s="378">
        <f>5224</f>
        <v>5224</v>
      </c>
      <c r="H52" s="392"/>
      <c r="I52" s="392"/>
      <c r="J52" s="392"/>
      <c r="K52" s="459"/>
      <c r="L52" s="453">
        <f t="shared" si="9"/>
        <v>5224</v>
      </c>
      <c r="M52" s="143"/>
      <c r="N52" s="362" t="s">
        <v>129</v>
      </c>
      <c r="O52" s="440">
        <f t="shared" si="10"/>
        <v>0</v>
      </c>
      <c r="P52" s="369">
        <f>P54+P55</f>
        <v>320000</v>
      </c>
      <c r="Q52" s="369"/>
      <c r="R52" s="369"/>
      <c r="S52" s="369"/>
      <c r="T52" s="370"/>
      <c r="U52" s="170">
        <f t="shared" si="11"/>
        <v>320000</v>
      </c>
      <c r="V52" s="467" t="s">
        <v>190</v>
      </c>
      <c r="X52" s="670">
        <v>0</v>
      </c>
      <c r="Y52" s="670">
        <v>0</v>
      </c>
      <c r="Z52" s="670">
        <v>0</v>
      </c>
      <c r="AA52" s="670">
        <v>0</v>
      </c>
    </row>
    <row r="53" spans="1:27" s="107" customFormat="1" ht="27" customHeight="1">
      <c r="A53" s="398"/>
      <c r="B53" s="233" t="s">
        <v>128</v>
      </c>
      <c r="C53" s="418"/>
      <c r="D53" s="380"/>
      <c r="E53" s="389"/>
      <c r="F53" s="414"/>
      <c r="G53" s="438"/>
      <c r="H53" s="462"/>
      <c r="I53" s="462"/>
      <c r="J53" s="462"/>
      <c r="K53" s="460"/>
      <c r="L53" s="454"/>
      <c r="M53" s="215"/>
      <c r="N53" s="363"/>
      <c r="O53" s="549"/>
      <c r="P53" s="373"/>
      <c r="Q53" s="373"/>
      <c r="R53" s="373"/>
      <c r="S53" s="373"/>
      <c r="T53" s="575"/>
      <c r="U53" s="119"/>
      <c r="V53" s="366"/>
      <c r="X53" s="671"/>
      <c r="Y53" s="671"/>
      <c r="Z53" s="671"/>
      <c r="AA53" s="671"/>
    </row>
    <row r="54" spans="1:27" s="107" customFormat="1" ht="18.75" customHeight="1">
      <c r="A54" s="398"/>
      <c r="B54" s="150" t="s">
        <v>127</v>
      </c>
      <c r="C54" s="492"/>
      <c r="D54" s="531"/>
      <c r="E54" s="389"/>
      <c r="F54" s="127">
        <f>25224</f>
        <v>25224</v>
      </c>
      <c r="G54" s="126">
        <f>5224</f>
        <v>5224</v>
      </c>
      <c r="H54" s="84"/>
      <c r="I54" s="84"/>
      <c r="J54" s="138"/>
      <c r="K54" s="125"/>
      <c r="L54" s="124">
        <f aca="true" t="shared" si="12" ref="L54:L60">G54+H54+I54+J54+K54</f>
        <v>5224</v>
      </c>
      <c r="M54" s="143"/>
      <c r="N54" s="363"/>
      <c r="O54" s="123">
        <f aca="true" t="shared" si="13" ref="O54:O60">F54-(G54+H54+I54+J54+K54+P54+Q54+R54+S54+T54)</f>
        <v>0</v>
      </c>
      <c r="P54" s="121">
        <f>P56+P58</f>
        <v>20000</v>
      </c>
      <c r="Q54" s="121"/>
      <c r="R54" s="121"/>
      <c r="S54" s="121"/>
      <c r="T54" s="137"/>
      <c r="U54" s="119">
        <f aca="true" t="shared" si="14" ref="U54:U60">SUM(P54:T54)</f>
        <v>20000</v>
      </c>
      <c r="V54" s="366"/>
      <c r="X54" s="671"/>
      <c r="Y54" s="671"/>
      <c r="Z54" s="671"/>
      <c r="AA54" s="671"/>
    </row>
    <row r="55" spans="1:27" s="107" customFormat="1" ht="18.75" customHeight="1">
      <c r="A55" s="398"/>
      <c r="B55" s="232" t="s">
        <v>126</v>
      </c>
      <c r="C55" s="492"/>
      <c r="D55" s="531"/>
      <c r="E55" s="389"/>
      <c r="F55" s="231">
        <f>300000</f>
        <v>300000</v>
      </c>
      <c r="G55" s="230"/>
      <c r="H55" s="229"/>
      <c r="I55" s="229"/>
      <c r="J55" s="228"/>
      <c r="K55" s="227"/>
      <c r="L55" s="226">
        <f t="shared" si="12"/>
        <v>0</v>
      </c>
      <c r="M55" s="143"/>
      <c r="N55" s="363"/>
      <c r="O55" s="123">
        <f t="shared" si="13"/>
        <v>0</v>
      </c>
      <c r="P55" s="121">
        <f>300000</f>
        <v>300000</v>
      </c>
      <c r="Q55" s="121"/>
      <c r="R55" s="121"/>
      <c r="S55" s="121"/>
      <c r="T55" s="137"/>
      <c r="U55" s="119">
        <f t="shared" si="14"/>
        <v>300000</v>
      </c>
      <c r="V55" s="366"/>
      <c r="X55" s="548"/>
      <c r="Y55" s="548"/>
      <c r="Z55" s="548"/>
      <c r="AA55" s="548"/>
    </row>
    <row r="56" spans="1:27" s="107" customFormat="1" ht="18.75" customHeight="1">
      <c r="A56" s="398"/>
      <c r="B56" s="225" t="s">
        <v>24</v>
      </c>
      <c r="C56" s="492"/>
      <c r="D56" s="522" t="s">
        <v>12</v>
      </c>
      <c r="E56" s="566"/>
      <c r="F56" s="224">
        <f>12612</f>
        <v>12612</v>
      </c>
      <c r="G56" s="223">
        <f>2612</f>
        <v>2612</v>
      </c>
      <c r="H56" s="222"/>
      <c r="I56" s="222"/>
      <c r="J56" s="221"/>
      <c r="K56" s="220"/>
      <c r="L56" s="219">
        <f t="shared" si="12"/>
        <v>2612</v>
      </c>
      <c r="M56" s="143"/>
      <c r="N56" s="363"/>
      <c r="O56" s="123">
        <f t="shared" si="13"/>
        <v>0</v>
      </c>
      <c r="P56" s="121">
        <f>10000</f>
        <v>10000</v>
      </c>
      <c r="Q56" s="121"/>
      <c r="R56" s="121"/>
      <c r="S56" s="121"/>
      <c r="T56" s="137"/>
      <c r="U56" s="119">
        <f t="shared" si="14"/>
        <v>10000</v>
      </c>
      <c r="V56" s="366"/>
      <c r="X56" s="670">
        <v>0</v>
      </c>
      <c r="Y56" s="670">
        <v>0</v>
      </c>
      <c r="Z56" s="670">
        <v>0</v>
      </c>
      <c r="AA56" s="670">
        <v>0</v>
      </c>
    </row>
    <row r="57" spans="1:27" s="107" customFormat="1" ht="18.75" customHeight="1">
      <c r="A57" s="398"/>
      <c r="B57" s="218" t="s">
        <v>23</v>
      </c>
      <c r="C57" s="492"/>
      <c r="D57" s="531"/>
      <c r="E57" s="566"/>
      <c r="F57" s="127">
        <f>150000</f>
        <v>150000</v>
      </c>
      <c r="G57" s="126"/>
      <c r="H57" s="84"/>
      <c r="I57" s="84"/>
      <c r="J57" s="138"/>
      <c r="K57" s="125"/>
      <c r="L57" s="124">
        <f t="shared" si="12"/>
        <v>0</v>
      </c>
      <c r="M57" s="143"/>
      <c r="N57" s="363"/>
      <c r="O57" s="123">
        <f t="shared" si="13"/>
        <v>0</v>
      </c>
      <c r="P57" s="121">
        <f>150000</f>
        <v>150000</v>
      </c>
      <c r="Q57" s="121"/>
      <c r="R57" s="121"/>
      <c r="S57" s="121"/>
      <c r="T57" s="137"/>
      <c r="U57" s="119">
        <f t="shared" si="14"/>
        <v>150000</v>
      </c>
      <c r="V57" s="366"/>
      <c r="X57" s="548"/>
      <c r="Y57" s="548"/>
      <c r="Z57" s="548"/>
      <c r="AA57" s="548"/>
    </row>
    <row r="58" spans="1:27" s="107" customFormat="1" ht="18.75" customHeight="1">
      <c r="A58" s="398"/>
      <c r="B58" s="218" t="s">
        <v>24</v>
      </c>
      <c r="C58" s="419"/>
      <c r="D58" s="522" t="s">
        <v>3</v>
      </c>
      <c r="E58" s="566"/>
      <c r="F58" s="127">
        <f>12612</f>
        <v>12612</v>
      </c>
      <c r="G58" s="126">
        <f>2612</f>
        <v>2612</v>
      </c>
      <c r="H58" s="84"/>
      <c r="I58" s="84"/>
      <c r="J58" s="138"/>
      <c r="K58" s="125"/>
      <c r="L58" s="124">
        <f t="shared" si="12"/>
        <v>2612</v>
      </c>
      <c r="M58" s="143"/>
      <c r="N58" s="363"/>
      <c r="O58" s="123">
        <f t="shared" si="13"/>
        <v>0</v>
      </c>
      <c r="P58" s="121">
        <f>10000</f>
        <v>10000</v>
      </c>
      <c r="Q58" s="121"/>
      <c r="R58" s="121"/>
      <c r="S58" s="121"/>
      <c r="T58" s="137"/>
      <c r="U58" s="119">
        <f t="shared" si="14"/>
        <v>10000</v>
      </c>
      <c r="V58" s="366"/>
      <c r="X58" s="670">
        <v>0</v>
      </c>
      <c r="Y58" s="670">
        <v>0</v>
      </c>
      <c r="Z58" s="670">
        <v>0</v>
      </c>
      <c r="AA58" s="670">
        <v>0</v>
      </c>
    </row>
    <row r="59" spans="1:27" s="107" customFormat="1" ht="18.75" customHeight="1" thickBot="1">
      <c r="A59" s="499"/>
      <c r="B59" s="217" t="s">
        <v>23</v>
      </c>
      <c r="C59" s="423"/>
      <c r="D59" s="555"/>
      <c r="E59" s="567"/>
      <c r="F59" s="117">
        <f>150000</f>
        <v>150000</v>
      </c>
      <c r="G59" s="116"/>
      <c r="H59" s="63"/>
      <c r="I59" s="63"/>
      <c r="J59" s="208"/>
      <c r="K59" s="115"/>
      <c r="L59" s="114">
        <f t="shared" si="12"/>
        <v>0</v>
      </c>
      <c r="M59" s="143"/>
      <c r="N59" s="364"/>
      <c r="O59" s="113">
        <f t="shared" si="13"/>
        <v>0</v>
      </c>
      <c r="P59" s="111">
        <f>150000</f>
        <v>150000</v>
      </c>
      <c r="Q59" s="111"/>
      <c r="R59" s="111"/>
      <c r="S59" s="111"/>
      <c r="T59" s="132"/>
      <c r="U59" s="109">
        <f t="shared" si="14"/>
        <v>150000</v>
      </c>
      <c r="V59" s="552"/>
      <c r="X59" s="548"/>
      <c r="Y59" s="548"/>
      <c r="Z59" s="548"/>
      <c r="AA59" s="548"/>
    </row>
    <row r="60" spans="1:27" s="107" customFormat="1" ht="39" customHeight="1">
      <c r="A60" s="398">
        <v>8</v>
      </c>
      <c r="B60" s="157" t="s">
        <v>125</v>
      </c>
      <c r="C60" s="570" t="s">
        <v>44</v>
      </c>
      <c r="D60" s="568" t="s">
        <v>3</v>
      </c>
      <c r="E60" s="563" t="s">
        <v>58</v>
      </c>
      <c r="F60" s="385">
        <v>627930</v>
      </c>
      <c r="G60" s="430">
        <v>446096</v>
      </c>
      <c r="H60" s="395"/>
      <c r="I60" s="395"/>
      <c r="J60" s="395"/>
      <c r="K60" s="489"/>
      <c r="L60" s="457">
        <f t="shared" si="12"/>
        <v>446096</v>
      </c>
      <c r="M60" s="143"/>
      <c r="N60" s="553" t="s">
        <v>124</v>
      </c>
      <c r="O60" s="216">
        <f t="shared" si="13"/>
        <v>0</v>
      </c>
      <c r="P60" s="369">
        <f>P62+P63</f>
        <v>181834</v>
      </c>
      <c r="Q60" s="369">
        <f>Q62+Q63</f>
        <v>0</v>
      </c>
      <c r="R60" s="369">
        <f>R62+R63</f>
        <v>0</v>
      </c>
      <c r="S60" s="369">
        <f>S62+S63</f>
        <v>0</v>
      </c>
      <c r="T60" s="370">
        <f>T62+T63</f>
        <v>0</v>
      </c>
      <c r="U60" s="119">
        <f t="shared" si="14"/>
        <v>181834</v>
      </c>
      <c r="V60" s="467" t="s">
        <v>189</v>
      </c>
      <c r="X60" s="670">
        <v>379181</v>
      </c>
      <c r="Y60" s="670">
        <v>0</v>
      </c>
      <c r="Z60" s="670">
        <v>0</v>
      </c>
      <c r="AA60" s="670">
        <v>0</v>
      </c>
    </row>
    <row r="61" spans="1:27" s="107" customFormat="1" ht="25.5" customHeight="1">
      <c r="A61" s="398"/>
      <c r="B61" s="157" t="s">
        <v>123</v>
      </c>
      <c r="C61" s="570"/>
      <c r="D61" s="568"/>
      <c r="E61" s="563"/>
      <c r="F61" s="414"/>
      <c r="G61" s="438"/>
      <c r="H61" s="462"/>
      <c r="I61" s="462"/>
      <c r="J61" s="462"/>
      <c r="K61" s="460"/>
      <c r="L61" s="454"/>
      <c r="M61" s="215"/>
      <c r="N61" s="441"/>
      <c r="O61" s="216"/>
      <c r="P61" s="373"/>
      <c r="Q61" s="373"/>
      <c r="R61" s="373"/>
      <c r="S61" s="373"/>
      <c r="T61" s="575"/>
      <c r="U61" s="119"/>
      <c r="V61" s="366"/>
      <c r="X61" s="671"/>
      <c r="Y61" s="671"/>
      <c r="Z61" s="671"/>
      <c r="AA61" s="671"/>
    </row>
    <row r="62" spans="1:27" s="107" customFormat="1" ht="18.75" customHeight="1">
      <c r="A62" s="398"/>
      <c r="B62" s="128" t="s">
        <v>24</v>
      </c>
      <c r="C62" s="570"/>
      <c r="D62" s="568"/>
      <c r="E62" s="563"/>
      <c r="F62" s="127">
        <v>617954</v>
      </c>
      <c r="G62" s="126">
        <v>446096</v>
      </c>
      <c r="H62" s="84"/>
      <c r="I62" s="84"/>
      <c r="J62" s="84"/>
      <c r="K62" s="125"/>
      <c r="L62" s="124">
        <f>G62+H62+I62+J62+K62</f>
        <v>446096</v>
      </c>
      <c r="M62" s="143"/>
      <c r="N62" s="441"/>
      <c r="O62" s="142">
        <f>F62-(G62+H62+I62+J62+K62+P62+Q62+R62+S62+T62)</f>
        <v>0</v>
      </c>
      <c r="P62" s="121">
        <v>171858</v>
      </c>
      <c r="Q62" s="121"/>
      <c r="R62" s="121"/>
      <c r="S62" s="121"/>
      <c r="T62" s="120"/>
      <c r="U62" s="119">
        <f>SUM(P62:T62)</f>
        <v>171858</v>
      </c>
      <c r="V62" s="366"/>
      <c r="X62" s="671"/>
      <c r="Y62" s="671"/>
      <c r="Z62" s="671"/>
      <c r="AA62" s="671"/>
    </row>
    <row r="63" spans="1:27" s="107" customFormat="1" ht="18.75" customHeight="1" thickBot="1">
      <c r="A63" s="499"/>
      <c r="B63" s="118" t="s">
        <v>23</v>
      </c>
      <c r="C63" s="571"/>
      <c r="D63" s="569"/>
      <c r="E63" s="564"/>
      <c r="F63" s="117">
        <v>9976</v>
      </c>
      <c r="G63" s="116"/>
      <c r="H63" s="63"/>
      <c r="I63" s="63"/>
      <c r="J63" s="63"/>
      <c r="K63" s="115"/>
      <c r="L63" s="114">
        <f>G63+H63+I63+J63+K63</f>
        <v>0</v>
      </c>
      <c r="M63" s="143"/>
      <c r="N63" s="554"/>
      <c r="O63" s="113">
        <f>F63-(G63+H63+I63+J63+K63+P63+Q63+R63+S63+T63)</f>
        <v>0</v>
      </c>
      <c r="P63" s="111">
        <v>9976</v>
      </c>
      <c r="Q63" s="111"/>
      <c r="R63" s="111"/>
      <c r="S63" s="111"/>
      <c r="T63" s="110"/>
      <c r="U63" s="109">
        <f>SUM(P63:T63)</f>
        <v>9976</v>
      </c>
      <c r="V63" s="552"/>
      <c r="X63" s="548"/>
      <c r="Y63" s="548"/>
      <c r="Z63" s="548"/>
      <c r="AA63" s="548"/>
    </row>
    <row r="64" spans="1:27" s="107" customFormat="1" ht="79.5" customHeight="1">
      <c r="A64" s="398">
        <v>9</v>
      </c>
      <c r="B64" s="157" t="s">
        <v>198</v>
      </c>
      <c r="C64" s="506" t="s">
        <v>54</v>
      </c>
      <c r="D64" s="494" t="s">
        <v>2</v>
      </c>
      <c r="E64" s="667" t="s">
        <v>58</v>
      </c>
      <c r="F64" s="385">
        <f>1600000</f>
        <v>1600000</v>
      </c>
      <c r="G64" s="430">
        <f>20000</f>
        <v>20000</v>
      </c>
      <c r="H64" s="395">
        <f>1580000</f>
        <v>1580000</v>
      </c>
      <c r="I64" s="395"/>
      <c r="J64" s="395"/>
      <c r="K64" s="489"/>
      <c r="L64" s="457">
        <f>G64+H64+I64+J64+K64</f>
        <v>1600000</v>
      </c>
      <c r="M64" s="143"/>
      <c r="N64" s="362" t="s">
        <v>194</v>
      </c>
      <c r="O64" s="216">
        <f>F64-(G64+H64+I64+J64+K64+P64+Q64+R64+S64+T64)</f>
        <v>0</v>
      </c>
      <c r="P64" s="369">
        <f>P66+P67</f>
        <v>0</v>
      </c>
      <c r="Q64" s="369">
        <f>Q66+Q67</f>
        <v>0</v>
      </c>
      <c r="R64" s="369">
        <f>R66+R67</f>
        <v>0</v>
      </c>
      <c r="S64" s="369">
        <f>S66+S67</f>
        <v>0</v>
      </c>
      <c r="T64" s="370">
        <f>T66+T67</f>
        <v>0</v>
      </c>
      <c r="U64" s="119">
        <f>SUM(P64:T64)</f>
        <v>0</v>
      </c>
      <c r="V64" s="467" t="s">
        <v>193</v>
      </c>
      <c r="X64" s="670">
        <v>379181</v>
      </c>
      <c r="Y64" s="670">
        <v>0</v>
      </c>
      <c r="Z64" s="670">
        <v>0</v>
      </c>
      <c r="AA64" s="670">
        <v>0</v>
      </c>
    </row>
    <row r="65" spans="1:27" s="107" customFormat="1" ht="60" customHeight="1">
      <c r="A65" s="398"/>
      <c r="B65" s="157" t="s">
        <v>195</v>
      </c>
      <c r="C65" s="506"/>
      <c r="D65" s="494"/>
      <c r="E65" s="667"/>
      <c r="F65" s="414"/>
      <c r="G65" s="438"/>
      <c r="H65" s="462"/>
      <c r="I65" s="462"/>
      <c r="J65" s="462"/>
      <c r="K65" s="460"/>
      <c r="L65" s="454"/>
      <c r="M65" s="215"/>
      <c r="N65" s="363"/>
      <c r="O65" s="216"/>
      <c r="P65" s="373"/>
      <c r="Q65" s="373"/>
      <c r="R65" s="373"/>
      <c r="S65" s="373"/>
      <c r="T65" s="575"/>
      <c r="U65" s="119"/>
      <c r="V65" s="366"/>
      <c r="X65" s="671"/>
      <c r="Y65" s="671"/>
      <c r="Z65" s="671"/>
      <c r="AA65" s="671"/>
    </row>
    <row r="66" spans="1:27" s="107" customFormat="1" ht="18.75" customHeight="1">
      <c r="A66" s="398"/>
      <c r="B66" s="128" t="s">
        <v>24</v>
      </c>
      <c r="C66" s="506"/>
      <c r="D66" s="494"/>
      <c r="E66" s="667"/>
      <c r="F66" s="127"/>
      <c r="G66" s="126"/>
      <c r="H66" s="84"/>
      <c r="I66" s="84"/>
      <c r="J66" s="84"/>
      <c r="K66" s="125"/>
      <c r="L66" s="124">
        <f>G66+H66+I66+J66+K66</f>
        <v>0</v>
      </c>
      <c r="M66" s="143"/>
      <c r="N66" s="363"/>
      <c r="O66" s="142">
        <f>F66-(G66+H66+I66+J66+K66+P66+Q66+R66+S66+T66)</f>
        <v>0</v>
      </c>
      <c r="P66" s="121">
        <v>0</v>
      </c>
      <c r="Q66" s="121"/>
      <c r="R66" s="121"/>
      <c r="S66" s="121"/>
      <c r="T66" s="120"/>
      <c r="U66" s="119">
        <f>SUM(P66:T66)</f>
        <v>0</v>
      </c>
      <c r="V66" s="366"/>
      <c r="X66" s="671"/>
      <c r="Y66" s="671"/>
      <c r="Z66" s="671"/>
      <c r="AA66" s="671"/>
    </row>
    <row r="67" spans="1:27" s="107" customFormat="1" ht="18.75" customHeight="1" thickBot="1">
      <c r="A67" s="499"/>
      <c r="B67" s="118" t="s">
        <v>23</v>
      </c>
      <c r="C67" s="572"/>
      <c r="D67" s="495"/>
      <c r="E67" s="668"/>
      <c r="F67" s="117">
        <f>1600000</f>
        <v>1600000</v>
      </c>
      <c r="G67" s="116">
        <f>20000</f>
        <v>20000</v>
      </c>
      <c r="H67" s="63">
        <f>1580000</f>
        <v>1580000</v>
      </c>
      <c r="I67" s="63"/>
      <c r="J67" s="63"/>
      <c r="K67" s="115"/>
      <c r="L67" s="114">
        <f>G67+H67+I67+J67+K67</f>
        <v>1600000</v>
      </c>
      <c r="M67" s="143"/>
      <c r="N67" s="364"/>
      <c r="O67" s="113">
        <f>F67-(G67+H67+I67+J67+K67+P67+Q67+R67+S67+T67)</f>
        <v>0</v>
      </c>
      <c r="P67" s="111">
        <v>0</v>
      </c>
      <c r="Q67" s="111"/>
      <c r="R67" s="111"/>
      <c r="S67" s="111"/>
      <c r="T67" s="110"/>
      <c r="U67" s="109">
        <f>SUM(P67:T67)</f>
        <v>0</v>
      </c>
      <c r="V67" s="552"/>
      <c r="X67" s="548"/>
      <c r="Y67" s="548"/>
      <c r="Z67" s="548"/>
      <c r="AA67" s="548"/>
    </row>
    <row r="68" spans="1:27" s="107" customFormat="1" ht="57" customHeight="1">
      <c r="A68" s="397">
        <v>10</v>
      </c>
      <c r="B68" s="158" t="s">
        <v>122</v>
      </c>
      <c r="C68" s="401" t="s">
        <v>121</v>
      </c>
      <c r="D68" s="405" t="s">
        <v>10</v>
      </c>
      <c r="E68" s="409" t="s">
        <v>118</v>
      </c>
      <c r="F68" s="413">
        <f>2915704-237784</f>
        <v>2677920</v>
      </c>
      <c r="G68" s="378">
        <f>700000-237784</f>
        <v>462216</v>
      </c>
      <c r="H68" s="392">
        <v>700000</v>
      </c>
      <c r="I68" s="392"/>
      <c r="J68" s="392"/>
      <c r="K68" s="459"/>
      <c r="L68" s="453">
        <f>G68+H68+I68+J68+K68</f>
        <v>1162216</v>
      </c>
      <c r="M68" s="143"/>
      <c r="N68" s="362" t="s">
        <v>117</v>
      </c>
      <c r="O68" s="440">
        <f>F68-(G68+H68+I68+J68+K68+P68+Q68+R68+S68+T68)</f>
        <v>0</v>
      </c>
      <c r="P68" s="369">
        <v>512085</v>
      </c>
      <c r="Q68" s="547">
        <f>Q70+Q71</f>
        <v>583228</v>
      </c>
      <c r="R68" s="547">
        <f>R70+R71</f>
        <v>282639</v>
      </c>
      <c r="S68" s="547">
        <f>S70+S71</f>
        <v>137752</v>
      </c>
      <c r="T68" s="371">
        <f>T70+T71</f>
        <v>0</v>
      </c>
      <c r="U68" s="368">
        <f>SUM(P68:T68)</f>
        <v>1515704</v>
      </c>
      <c r="V68" s="467" t="s">
        <v>188</v>
      </c>
      <c r="X68" s="573">
        <v>423339</v>
      </c>
      <c r="Y68" s="573">
        <v>22412</v>
      </c>
      <c r="Z68" s="573">
        <f>Z70+Z71</f>
        <v>0</v>
      </c>
      <c r="AA68" s="573">
        <f>AA70+AA71</f>
        <v>0</v>
      </c>
    </row>
    <row r="69" spans="1:27" s="107" customFormat="1" ht="61.5" customHeight="1">
      <c r="A69" s="398"/>
      <c r="B69" s="157" t="s">
        <v>120</v>
      </c>
      <c r="C69" s="402"/>
      <c r="D69" s="406"/>
      <c r="E69" s="410"/>
      <c r="F69" s="414"/>
      <c r="G69" s="438"/>
      <c r="H69" s="462"/>
      <c r="I69" s="462"/>
      <c r="J69" s="462"/>
      <c r="K69" s="460"/>
      <c r="L69" s="454"/>
      <c r="M69" s="215"/>
      <c r="N69" s="363"/>
      <c r="O69" s="549"/>
      <c r="P69" s="373"/>
      <c r="Q69" s="548"/>
      <c r="R69" s="548"/>
      <c r="S69" s="548"/>
      <c r="T69" s="372"/>
      <c r="U69" s="374"/>
      <c r="V69" s="366"/>
      <c r="X69" s="574"/>
      <c r="Y69" s="574"/>
      <c r="Z69" s="574"/>
      <c r="AA69" s="574"/>
    </row>
    <row r="70" spans="1:27" s="107" customFormat="1" ht="18.75" customHeight="1">
      <c r="A70" s="420"/>
      <c r="B70" s="128" t="s">
        <v>24</v>
      </c>
      <c r="C70" s="403"/>
      <c r="D70" s="407"/>
      <c r="E70" s="509"/>
      <c r="F70" s="127">
        <f>2915704-237784</f>
        <v>2677920</v>
      </c>
      <c r="G70" s="126">
        <f>700000-237784</f>
        <v>462216</v>
      </c>
      <c r="H70" s="84">
        <v>700000</v>
      </c>
      <c r="I70" s="84"/>
      <c r="J70" s="84"/>
      <c r="K70" s="125"/>
      <c r="L70" s="124">
        <f>G70+H70+I70+J70+K70</f>
        <v>1162216</v>
      </c>
      <c r="M70" s="143"/>
      <c r="N70" s="363"/>
      <c r="O70" s="214">
        <f>F70-(G70+H70+I70+J70+K70+P70+Q70+R70+S70+T70)</f>
        <v>0</v>
      </c>
      <c r="P70" s="122">
        <v>512085</v>
      </c>
      <c r="Q70" s="121">
        <v>583228</v>
      </c>
      <c r="R70" s="121">
        <v>282639</v>
      </c>
      <c r="S70" s="121">
        <v>137752</v>
      </c>
      <c r="T70" s="120"/>
      <c r="U70" s="119">
        <f>SUM(P70:T70)</f>
        <v>1515704</v>
      </c>
      <c r="V70" s="366"/>
      <c r="X70" s="574"/>
      <c r="Y70" s="574"/>
      <c r="Z70" s="574"/>
      <c r="AA70" s="574"/>
    </row>
    <row r="71" spans="1:27" s="107" customFormat="1" ht="18.75" customHeight="1" thickBot="1">
      <c r="A71" s="421"/>
      <c r="B71" s="118" t="s">
        <v>23</v>
      </c>
      <c r="C71" s="404"/>
      <c r="D71" s="408"/>
      <c r="E71" s="562"/>
      <c r="F71" s="117"/>
      <c r="G71" s="116"/>
      <c r="H71" s="63"/>
      <c r="I71" s="63"/>
      <c r="J71" s="63"/>
      <c r="K71" s="115"/>
      <c r="L71" s="114">
        <f>G71+H71+I71+J71+K71</f>
        <v>0</v>
      </c>
      <c r="M71" s="143"/>
      <c r="N71" s="364"/>
      <c r="O71" s="213">
        <f>F71-(G71+H71+I71+J71+K71+P71+Q71+R71+S71+T71)</f>
        <v>0</v>
      </c>
      <c r="P71" s="112"/>
      <c r="Q71" s="111"/>
      <c r="R71" s="111"/>
      <c r="S71" s="111"/>
      <c r="T71" s="110"/>
      <c r="U71" s="109">
        <f>SUM(P71:T71)</f>
        <v>0</v>
      </c>
      <c r="V71" s="552"/>
      <c r="X71" s="358"/>
      <c r="Y71" s="358"/>
      <c r="Z71" s="358"/>
      <c r="AA71" s="358"/>
    </row>
    <row r="72" spans="1:27" s="206" customFormat="1" ht="36.75" customHeight="1">
      <c r="A72" s="397">
        <v>11</v>
      </c>
      <c r="B72" s="158" t="s">
        <v>119</v>
      </c>
      <c r="C72" s="422" t="s">
        <v>34</v>
      </c>
      <c r="D72" s="424" t="s">
        <v>10</v>
      </c>
      <c r="E72" s="426" t="s">
        <v>118</v>
      </c>
      <c r="F72" s="413">
        <f>399975</f>
        <v>399975</v>
      </c>
      <c r="G72" s="378">
        <f>178610</f>
        <v>178610</v>
      </c>
      <c r="H72" s="392">
        <f>221365</f>
        <v>221365</v>
      </c>
      <c r="I72" s="392"/>
      <c r="J72" s="392"/>
      <c r="K72" s="459"/>
      <c r="L72" s="453">
        <f>G72+H72+I72+J72+K72</f>
        <v>399975</v>
      </c>
      <c r="M72" s="143"/>
      <c r="N72" s="362" t="s">
        <v>117</v>
      </c>
      <c r="O72" s="440">
        <f>F72-(G72+H72+I72+J72+K72+P72+Q72+R72+S72+T72)</f>
        <v>0</v>
      </c>
      <c r="P72" s="369">
        <f>P74+P75</f>
        <v>0</v>
      </c>
      <c r="Q72" s="369">
        <f>Q74+Q75</f>
        <v>0</v>
      </c>
      <c r="R72" s="369">
        <f>R74+R75</f>
        <v>0</v>
      </c>
      <c r="S72" s="369">
        <f>S74+S75</f>
        <v>0</v>
      </c>
      <c r="T72" s="370">
        <f>T74+T75</f>
        <v>0</v>
      </c>
      <c r="U72" s="368">
        <f>SUM(P72:T72)</f>
        <v>0</v>
      </c>
      <c r="V72" s="362" t="s">
        <v>116</v>
      </c>
      <c r="X72" s="679">
        <v>151819</v>
      </c>
      <c r="Y72" s="679">
        <v>26791</v>
      </c>
      <c r="Z72" s="679">
        <f>Z74+Z75</f>
        <v>0</v>
      </c>
      <c r="AA72" s="679">
        <f>AA74+AA75</f>
        <v>0</v>
      </c>
    </row>
    <row r="73" spans="1:27" s="206" customFormat="1" ht="54" customHeight="1">
      <c r="A73" s="398"/>
      <c r="B73" s="157" t="s">
        <v>115</v>
      </c>
      <c r="C73" s="418"/>
      <c r="D73" s="380"/>
      <c r="E73" s="382"/>
      <c r="F73" s="414"/>
      <c r="G73" s="438"/>
      <c r="H73" s="462"/>
      <c r="I73" s="462"/>
      <c r="J73" s="462"/>
      <c r="K73" s="460"/>
      <c r="L73" s="454"/>
      <c r="M73" s="215"/>
      <c r="N73" s="363"/>
      <c r="O73" s="549"/>
      <c r="P73" s="373"/>
      <c r="Q73" s="373"/>
      <c r="R73" s="373"/>
      <c r="S73" s="373"/>
      <c r="T73" s="575"/>
      <c r="U73" s="374"/>
      <c r="V73" s="363"/>
      <c r="X73" s="680"/>
      <c r="Y73" s="680"/>
      <c r="Z73" s="680"/>
      <c r="AA73" s="680"/>
    </row>
    <row r="74" spans="1:27" s="206" customFormat="1" ht="18.75" customHeight="1">
      <c r="A74" s="420"/>
      <c r="B74" s="128" t="s">
        <v>24</v>
      </c>
      <c r="C74" s="419"/>
      <c r="D74" s="381"/>
      <c r="E74" s="427"/>
      <c r="F74" s="127">
        <f>399975</f>
        <v>399975</v>
      </c>
      <c r="G74" s="126">
        <f>178610</f>
        <v>178610</v>
      </c>
      <c r="H74" s="84">
        <f>221365</f>
        <v>221365</v>
      </c>
      <c r="I74" s="84"/>
      <c r="J74" s="84"/>
      <c r="K74" s="125"/>
      <c r="L74" s="124">
        <f>G74+H74+I74+J74+K74</f>
        <v>399975</v>
      </c>
      <c r="M74" s="143"/>
      <c r="N74" s="363"/>
      <c r="O74" s="214">
        <f>F74-(G74+H74+I74+J74+K74+P74+Q74+R74+S74+T74)</f>
        <v>0</v>
      </c>
      <c r="P74" s="122"/>
      <c r="Q74" s="121"/>
      <c r="R74" s="121"/>
      <c r="S74" s="121"/>
      <c r="T74" s="120"/>
      <c r="U74" s="119">
        <f>SUM(P74:T74)</f>
        <v>0</v>
      </c>
      <c r="V74" s="363"/>
      <c r="X74" s="680"/>
      <c r="Y74" s="680"/>
      <c r="Z74" s="680"/>
      <c r="AA74" s="680"/>
    </row>
    <row r="75" spans="1:27" s="206" customFormat="1" ht="18.75" customHeight="1" thickBot="1">
      <c r="A75" s="421"/>
      <c r="B75" s="118" t="s">
        <v>23</v>
      </c>
      <c r="C75" s="423"/>
      <c r="D75" s="425"/>
      <c r="E75" s="428"/>
      <c r="F75" s="117"/>
      <c r="G75" s="116"/>
      <c r="H75" s="63"/>
      <c r="I75" s="63"/>
      <c r="J75" s="63"/>
      <c r="K75" s="115"/>
      <c r="L75" s="114">
        <f>G75+H75+I75+J75+K75</f>
        <v>0</v>
      </c>
      <c r="M75" s="143"/>
      <c r="N75" s="364"/>
      <c r="O75" s="213">
        <f>F75-(G75+H75+I75+J75+K75+P75+Q75+R75+S75+T75)</f>
        <v>0</v>
      </c>
      <c r="P75" s="112"/>
      <c r="Q75" s="111"/>
      <c r="R75" s="111"/>
      <c r="S75" s="111"/>
      <c r="T75" s="110"/>
      <c r="U75" s="109">
        <f>SUM(P75:T75)</f>
        <v>0</v>
      </c>
      <c r="V75" s="364"/>
      <c r="X75" s="373"/>
      <c r="Y75" s="373"/>
      <c r="Z75" s="373"/>
      <c r="AA75" s="373"/>
    </row>
    <row r="76" spans="1:27" s="107" customFormat="1" ht="39.75" customHeight="1">
      <c r="A76" s="397">
        <v>12</v>
      </c>
      <c r="B76" s="158" t="s">
        <v>114</v>
      </c>
      <c r="C76" s="401" t="s">
        <v>44</v>
      </c>
      <c r="D76" s="405" t="s">
        <v>10</v>
      </c>
      <c r="E76" s="409" t="s">
        <v>100</v>
      </c>
      <c r="F76" s="413">
        <f>172827</f>
        <v>172827</v>
      </c>
      <c r="G76" s="378">
        <f>34566</f>
        <v>34566</v>
      </c>
      <c r="H76" s="392"/>
      <c r="I76" s="392"/>
      <c r="J76" s="550"/>
      <c r="K76" s="551"/>
      <c r="L76" s="453">
        <f>G76+H76+I76+J76+K76</f>
        <v>34566</v>
      </c>
      <c r="M76" s="143"/>
      <c r="N76" s="362" t="s">
        <v>99</v>
      </c>
      <c r="O76" s="440">
        <f>F76-(G76+H76+I76+J76+K76+P76+Q76+R76+S76+T76)</f>
        <v>0</v>
      </c>
      <c r="P76" s="369">
        <f>P78+P79</f>
        <v>138261</v>
      </c>
      <c r="Q76" s="369">
        <f>Q78+Q79</f>
        <v>0</v>
      </c>
      <c r="R76" s="547">
        <f>R78+R79</f>
        <v>0</v>
      </c>
      <c r="S76" s="547">
        <f>S78+S79</f>
        <v>0</v>
      </c>
      <c r="T76" s="371">
        <f>T78+T79</f>
        <v>0</v>
      </c>
      <c r="U76" s="368">
        <f>SUM(P76:T76)</f>
        <v>138261</v>
      </c>
      <c r="V76" s="467" t="s">
        <v>113</v>
      </c>
      <c r="X76" s="573">
        <v>34566</v>
      </c>
      <c r="Y76" s="573">
        <v>0</v>
      </c>
      <c r="Z76" s="573">
        <f>Z78+Z79</f>
        <v>0</v>
      </c>
      <c r="AA76" s="573">
        <f>AA78+AA79</f>
        <v>0</v>
      </c>
    </row>
    <row r="77" spans="1:27" s="107" customFormat="1" ht="106.5" customHeight="1">
      <c r="A77" s="398"/>
      <c r="B77" s="157" t="s">
        <v>112</v>
      </c>
      <c r="C77" s="402"/>
      <c r="D77" s="406"/>
      <c r="E77" s="410"/>
      <c r="F77" s="414"/>
      <c r="G77" s="429"/>
      <c r="H77" s="394"/>
      <c r="I77" s="394"/>
      <c r="J77" s="394"/>
      <c r="K77" s="461"/>
      <c r="L77" s="463"/>
      <c r="M77" s="215"/>
      <c r="N77" s="363"/>
      <c r="O77" s="549"/>
      <c r="P77" s="373"/>
      <c r="Q77" s="373"/>
      <c r="R77" s="548"/>
      <c r="S77" s="548"/>
      <c r="T77" s="372"/>
      <c r="U77" s="374"/>
      <c r="V77" s="366"/>
      <c r="X77" s="574"/>
      <c r="Y77" s="574"/>
      <c r="Z77" s="574"/>
      <c r="AA77" s="574"/>
    </row>
    <row r="78" spans="1:27" s="107" customFormat="1" ht="18.75" customHeight="1">
      <c r="A78" s="399"/>
      <c r="B78" s="128" t="s">
        <v>24</v>
      </c>
      <c r="C78" s="403"/>
      <c r="D78" s="407"/>
      <c r="E78" s="411"/>
      <c r="F78" s="127">
        <f>172827</f>
        <v>172827</v>
      </c>
      <c r="G78" s="126">
        <f>34566</f>
        <v>34566</v>
      </c>
      <c r="H78" s="84"/>
      <c r="I78" s="84"/>
      <c r="J78" s="84"/>
      <c r="K78" s="125"/>
      <c r="L78" s="124">
        <f>G78+H78+I78+J78+K78</f>
        <v>34566</v>
      </c>
      <c r="M78" s="143"/>
      <c r="N78" s="363"/>
      <c r="O78" s="123">
        <f>F78-(G78+H78+I78+J78+K78+P78+Q78+R78+S78+T78)</f>
        <v>0</v>
      </c>
      <c r="P78" s="122">
        <v>138261</v>
      </c>
      <c r="Q78" s="121">
        <v>0</v>
      </c>
      <c r="R78" s="121"/>
      <c r="S78" s="121"/>
      <c r="T78" s="120"/>
      <c r="U78" s="119">
        <f>SUM(P78:T78)</f>
        <v>138261</v>
      </c>
      <c r="V78" s="366"/>
      <c r="X78" s="574"/>
      <c r="Y78" s="574"/>
      <c r="Z78" s="574"/>
      <c r="AA78" s="574"/>
    </row>
    <row r="79" spans="1:27" s="107" customFormat="1" ht="18.75" customHeight="1" thickBot="1">
      <c r="A79" s="400"/>
      <c r="B79" s="118" t="s">
        <v>23</v>
      </c>
      <c r="C79" s="404"/>
      <c r="D79" s="408"/>
      <c r="E79" s="412"/>
      <c r="F79" s="117"/>
      <c r="G79" s="212"/>
      <c r="H79" s="63"/>
      <c r="I79" s="63"/>
      <c r="J79" s="63"/>
      <c r="K79" s="115"/>
      <c r="L79" s="114">
        <f>G79+H79+I79+J79+K79</f>
        <v>0</v>
      </c>
      <c r="M79" s="143"/>
      <c r="N79" s="364"/>
      <c r="O79" s="142">
        <f>F79-(G79+H79+I79+J79+K79+P79+Q79+R79+S79+T79)</f>
        <v>0</v>
      </c>
      <c r="P79" s="152"/>
      <c r="Q79" s="141"/>
      <c r="R79" s="141"/>
      <c r="S79" s="141"/>
      <c r="T79" s="211"/>
      <c r="U79" s="109">
        <f>SUM(P79:T79)</f>
        <v>0</v>
      </c>
      <c r="V79" s="552"/>
      <c r="X79" s="358"/>
      <c r="Y79" s="358"/>
      <c r="Z79" s="358"/>
      <c r="AA79" s="358"/>
    </row>
    <row r="80" spans="1:27" s="107" customFormat="1" ht="37.5" customHeight="1">
      <c r="A80" s="415">
        <v>13</v>
      </c>
      <c r="B80" s="157" t="s">
        <v>111</v>
      </c>
      <c r="C80" s="418" t="s">
        <v>50</v>
      </c>
      <c r="D80" s="380" t="s">
        <v>10</v>
      </c>
      <c r="E80" s="382" t="s">
        <v>100</v>
      </c>
      <c r="F80" s="385">
        <f>370078</f>
        <v>370078</v>
      </c>
      <c r="G80" s="395">
        <f>211258</f>
        <v>211258</v>
      </c>
      <c r="H80" s="395">
        <f>121010</f>
        <v>121010</v>
      </c>
      <c r="I80" s="395">
        <f>37810</f>
        <v>37810</v>
      </c>
      <c r="J80" s="395"/>
      <c r="K80" s="544"/>
      <c r="L80" s="457">
        <f>G80+H80+I80+J80+K80</f>
        <v>370078</v>
      </c>
      <c r="M80" s="143"/>
      <c r="N80" s="362" t="s">
        <v>99</v>
      </c>
      <c r="O80" s="440">
        <f>F80-(G80+H80+I80+J80+K80+P80+Q80+R80+S80+T80)</f>
        <v>0</v>
      </c>
      <c r="P80" s="369">
        <f>P82+P83</f>
        <v>0</v>
      </c>
      <c r="Q80" s="369">
        <f>Q82+Q83</f>
        <v>0</v>
      </c>
      <c r="R80" s="547">
        <f>R82+R83</f>
        <v>0</v>
      </c>
      <c r="S80" s="547">
        <f>S82+S83</f>
        <v>0</v>
      </c>
      <c r="T80" s="371">
        <f>T82+T83</f>
        <v>0</v>
      </c>
      <c r="U80" s="368">
        <f>SUM(P80:T80)</f>
        <v>0</v>
      </c>
      <c r="V80" s="181" t="s">
        <v>110</v>
      </c>
      <c r="X80" s="573">
        <f>211258</f>
        <v>211258</v>
      </c>
      <c r="Y80" s="573">
        <v>0</v>
      </c>
      <c r="Z80" s="573">
        <f>Z82+Z83</f>
        <v>0</v>
      </c>
      <c r="AA80" s="573">
        <f>AA82+AA83</f>
        <v>0</v>
      </c>
    </row>
    <row r="81" spans="1:27" s="107" customFormat="1" ht="60.75" customHeight="1">
      <c r="A81" s="415"/>
      <c r="B81" s="157" t="s">
        <v>109</v>
      </c>
      <c r="C81" s="418"/>
      <c r="D81" s="380"/>
      <c r="E81" s="382"/>
      <c r="F81" s="386"/>
      <c r="G81" s="396"/>
      <c r="H81" s="396"/>
      <c r="I81" s="396"/>
      <c r="J81" s="396"/>
      <c r="K81" s="545"/>
      <c r="L81" s="546"/>
      <c r="M81" s="215"/>
      <c r="N81" s="363"/>
      <c r="O81" s="549"/>
      <c r="P81" s="373"/>
      <c r="Q81" s="373"/>
      <c r="R81" s="548"/>
      <c r="S81" s="548"/>
      <c r="T81" s="372"/>
      <c r="U81" s="374"/>
      <c r="V81" s="366" t="s">
        <v>108</v>
      </c>
      <c r="X81" s="574"/>
      <c r="Y81" s="574"/>
      <c r="Z81" s="574"/>
      <c r="AA81" s="574"/>
    </row>
    <row r="82" spans="1:27" s="107" customFormat="1" ht="18.75" customHeight="1">
      <c r="A82" s="416"/>
      <c r="B82" s="128" t="s">
        <v>24</v>
      </c>
      <c r="C82" s="419"/>
      <c r="D82" s="381"/>
      <c r="E82" s="383"/>
      <c r="F82" s="127">
        <f>370078</f>
        <v>370078</v>
      </c>
      <c r="G82" s="126">
        <f>211258</f>
        <v>211258</v>
      </c>
      <c r="H82" s="84">
        <f>121010</f>
        <v>121010</v>
      </c>
      <c r="I82" s="125">
        <f>37810</f>
        <v>37810</v>
      </c>
      <c r="J82" s="84"/>
      <c r="K82" s="138"/>
      <c r="L82" s="124">
        <f>G82+H82+I82+J82+K82</f>
        <v>370078</v>
      </c>
      <c r="M82" s="143"/>
      <c r="N82" s="363"/>
      <c r="O82" s="123">
        <f>F82-(G82+H82+I82+J82+K82+P82+Q82+R82+S82+T82)</f>
        <v>0</v>
      </c>
      <c r="P82" s="122">
        <v>0</v>
      </c>
      <c r="Q82" s="121">
        <v>0</v>
      </c>
      <c r="R82" s="121"/>
      <c r="S82" s="121"/>
      <c r="T82" s="120"/>
      <c r="U82" s="119">
        <f>SUM(P82:T82)</f>
        <v>0</v>
      </c>
      <c r="V82" s="366"/>
      <c r="X82" s="574"/>
      <c r="Y82" s="574"/>
      <c r="Z82" s="574"/>
      <c r="AA82" s="574"/>
    </row>
    <row r="83" spans="1:27" s="107" customFormat="1" ht="18.75" customHeight="1" thickBot="1">
      <c r="A83" s="417"/>
      <c r="B83" s="128" t="s">
        <v>23</v>
      </c>
      <c r="C83" s="419"/>
      <c r="D83" s="381"/>
      <c r="E83" s="384"/>
      <c r="F83" s="127"/>
      <c r="G83" s="126"/>
      <c r="H83" s="84"/>
      <c r="I83" s="125"/>
      <c r="J83" s="84"/>
      <c r="K83" s="138"/>
      <c r="L83" s="124">
        <f>G83+H83+I83+J83+K83</f>
        <v>0</v>
      </c>
      <c r="M83" s="143"/>
      <c r="N83" s="364"/>
      <c r="O83" s="142">
        <f>F83-(G83+H83+I83+J83+K83+P83+Q83+R83+S83+T83)</f>
        <v>0</v>
      </c>
      <c r="P83" s="152"/>
      <c r="Q83" s="141"/>
      <c r="R83" s="141"/>
      <c r="S83" s="141"/>
      <c r="T83" s="211"/>
      <c r="U83" s="119">
        <f>SUM(P83:T83)</f>
        <v>0</v>
      </c>
      <c r="V83" s="552"/>
      <c r="X83" s="358"/>
      <c r="Y83" s="358"/>
      <c r="Z83" s="358"/>
      <c r="AA83" s="358"/>
    </row>
    <row r="84" spans="1:27" s="206" customFormat="1" ht="39.75" customHeight="1">
      <c r="A84" s="376">
        <v>14</v>
      </c>
      <c r="B84" s="325" t="s">
        <v>107</v>
      </c>
      <c r="C84" s="436" t="s">
        <v>54</v>
      </c>
      <c r="D84" s="387" t="s">
        <v>10</v>
      </c>
      <c r="E84" s="389" t="s">
        <v>100</v>
      </c>
      <c r="F84" s="385">
        <f>399952</f>
        <v>399952</v>
      </c>
      <c r="G84" s="430">
        <f>173958</f>
        <v>173958</v>
      </c>
      <c r="H84" s="395">
        <f>225994</f>
        <v>225994</v>
      </c>
      <c r="I84" s="439"/>
      <c r="J84" s="395"/>
      <c r="K84" s="456"/>
      <c r="L84" s="457">
        <f>G84+H84+I84+J84+K84</f>
        <v>399952</v>
      </c>
      <c r="M84" s="143"/>
      <c r="N84" s="362" t="s">
        <v>99</v>
      </c>
      <c r="O84" s="440">
        <f>F84-(G84+H84+I84+J84+K84+P84+Q84+R84+S84+T84)</f>
        <v>0</v>
      </c>
      <c r="P84" s="369">
        <f>P86+P87</f>
        <v>0</v>
      </c>
      <c r="Q84" s="369">
        <f>Q86+Q87</f>
        <v>0</v>
      </c>
      <c r="R84" s="369">
        <f>R86+R87</f>
        <v>0</v>
      </c>
      <c r="S84" s="369">
        <f>S86+S87</f>
        <v>0</v>
      </c>
      <c r="T84" s="370">
        <f>T86+T87</f>
        <v>0</v>
      </c>
      <c r="U84" s="368">
        <v>0</v>
      </c>
      <c r="V84" s="365"/>
      <c r="X84" s="679">
        <v>147864</v>
      </c>
      <c r="Y84" s="679">
        <v>26094</v>
      </c>
      <c r="Z84" s="679">
        <v>0</v>
      </c>
      <c r="AA84" s="679">
        <v>0</v>
      </c>
    </row>
    <row r="85" spans="1:27" s="206" customFormat="1" ht="39.75" customHeight="1">
      <c r="A85" s="376"/>
      <c r="B85" s="150" t="s">
        <v>106</v>
      </c>
      <c r="C85" s="436"/>
      <c r="D85" s="387"/>
      <c r="E85" s="389"/>
      <c r="F85" s="391"/>
      <c r="G85" s="379"/>
      <c r="H85" s="393"/>
      <c r="I85" s="432"/>
      <c r="J85" s="393"/>
      <c r="K85" s="452"/>
      <c r="L85" s="454"/>
      <c r="M85" s="143"/>
      <c r="N85" s="363"/>
      <c r="O85" s="549"/>
      <c r="P85" s="373"/>
      <c r="Q85" s="373"/>
      <c r="R85" s="373"/>
      <c r="S85" s="373"/>
      <c r="T85" s="575"/>
      <c r="U85" s="374"/>
      <c r="V85" s="682"/>
      <c r="X85" s="680"/>
      <c r="Y85" s="680"/>
      <c r="Z85" s="680"/>
      <c r="AA85" s="680"/>
    </row>
    <row r="86" spans="1:27" s="206" customFormat="1" ht="18.75" customHeight="1">
      <c r="A86" s="376"/>
      <c r="B86" s="150" t="s">
        <v>24</v>
      </c>
      <c r="C86" s="436"/>
      <c r="D86" s="387"/>
      <c r="E86" s="389"/>
      <c r="F86" s="127">
        <f>399952</f>
        <v>399952</v>
      </c>
      <c r="G86" s="126">
        <f>173958</f>
        <v>173958</v>
      </c>
      <c r="H86" s="84">
        <f>225994</f>
        <v>225994</v>
      </c>
      <c r="I86" s="138"/>
      <c r="J86" s="84"/>
      <c r="K86" s="209"/>
      <c r="L86" s="124">
        <f>G86+H86+I86+J86+K86</f>
        <v>399952</v>
      </c>
      <c r="M86" s="143"/>
      <c r="N86" s="363"/>
      <c r="O86" s="123">
        <f>F86-(G86+H86+I86+J86+K86+P86+Q86+R86+S86+T86)</f>
        <v>0</v>
      </c>
      <c r="P86" s="121">
        <v>0</v>
      </c>
      <c r="Q86" s="121"/>
      <c r="R86" s="121"/>
      <c r="S86" s="121"/>
      <c r="T86" s="120"/>
      <c r="U86" s="119">
        <f>SUM(P86:T86)</f>
        <v>0</v>
      </c>
      <c r="V86" s="682"/>
      <c r="X86" s="680"/>
      <c r="Y86" s="680"/>
      <c r="Z86" s="680"/>
      <c r="AA86" s="680"/>
    </row>
    <row r="87" spans="1:27" s="206" customFormat="1" ht="18.75" customHeight="1" thickBot="1">
      <c r="A87" s="377"/>
      <c r="B87" s="148" t="s">
        <v>23</v>
      </c>
      <c r="C87" s="437"/>
      <c r="D87" s="388"/>
      <c r="E87" s="390"/>
      <c r="F87" s="117"/>
      <c r="G87" s="116"/>
      <c r="H87" s="63"/>
      <c r="I87" s="208"/>
      <c r="J87" s="63"/>
      <c r="K87" s="207"/>
      <c r="L87" s="124">
        <f>G87+H87+I87+J87+K87</f>
        <v>0</v>
      </c>
      <c r="M87" s="143"/>
      <c r="N87" s="364"/>
      <c r="O87" s="113">
        <f>F87-(G87+H87+I87+J87+K87+P87+Q87+R87+S87+T87)</f>
        <v>0</v>
      </c>
      <c r="P87" s="111">
        <v>0</v>
      </c>
      <c r="Q87" s="111"/>
      <c r="R87" s="111"/>
      <c r="S87" s="111"/>
      <c r="T87" s="110"/>
      <c r="U87" s="109">
        <f>SUM(P87:T87)</f>
        <v>0</v>
      </c>
      <c r="V87" s="683"/>
      <c r="X87" s="373"/>
      <c r="Y87" s="373"/>
      <c r="Z87" s="373"/>
      <c r="AA87" s="373"/>
    </row>
    <row r="88" spans="1:27" s="206" customFormat="1" ht="39.75" customHeight="1">
      <c r="A88" s="375">
        <v>15</v>
      </c>
      <c r="B88" s="210" t="s">
        <v>105</v>
      </c>
      <c r="C88" s="450" t="s">
        <v>104</v>
      </c>
      <c r="D88" s="448" t="s">
        <v>10</v>
      </c>
      <c r="E88" s="449" t="s">
        <v>100</v>
      </c>
      <c r="F88" s="413">
        <v>217000</v>
      </c>
      <c r="G88" s="378">
        <v>79000</v>
      </c>
      <c r="H88" s="392">
        <v>94000</v>
      </c>
      <c r="I88" s="431">
        <v>44000</v>
      </c>
      <c r="J88" s="392"/>
      <c r="K88" s="451"/>
      <c r="L88" s="453">
        <f>G88+H88+I88+J88+K88</f>
        <v>217000</v>
      </c>
      <c r="M88" s="143"/>
      <c r="N88" s="362" t="s">
        <v>99</v>
      </c>
      <c r="O88" s="440">
        <f>F88-(G88+H88+I88+J88+K88+P88+Q88+R88+S88+T88)</f>
        <v>0</v>
      </c>
      <c r="P88" s="369">
        <f>P90+P91</f>
        <v>0</v>
      </c>
      <c r="Q88" s="369">
        <f>Q90+Q91</f>
        <v>0</v>
      </c>
      <c r="R88" s="369">
        <f>R90+R91</f>
        <v>0</v>
      </c>
      <c r="S88" s="369">
        <f>S90+S91</f>
        <v>0</v>
      </c>
      <c r="T88" s="370">
        <f>T90+T91</f>
        <v>0</v>
      </c>
      <c r="U88" s="368">
        <v>0</v>
      </c>
      <c r="V88" s="362" t="s">
        <v>103</v>
      </c>
      <c r="X88" s="679">
        <v>67150</v>
      </c>
      <c r="Y88" s="679">
        <v>11850</v>
      </c>
      <c r="Z88" s="679">
        <v>0</v>
      </c>
      <c r="AA88" s="679">
        <v>0</v>
      </c>
    </row>
    <row r="89" spans="1:27" s="206" customFormat="1" ht="41.25" customHeight="1">
      <c r="A89" s="376"/>
      <c r="B89" s="150" t="s">
        <v>102</v>
      </c>
      <c r="C89" s="436"/>
      <c r="D89" s="387"/>
      <c r="E89" s="389"/>
      <c r="F89" s="391"/>
      <c r="G89" s="379"/>
      <c r="H89" s="393"/>
      <c r="I89" s="432"/>
      <c r="J89" s="393"/>
      <c r="K89" s="452"/>
      <c r="L89" s="454"/>
      <c r="M89" s="143"/>
      <c r="N89" s="363"/>
      <c r="O89" s="549"/>
      <c r="P89" s="373"/>
      <c r="Q89" s="373"/>
      <c r="R89" s="373"/>
      <c r="S89" s="373"/>
      <c r="T89" s="575"/>
      <c r="U89" s="374"/>
      <c r="V89" s="363"/>
      <c r="X89" s="680"/>
      <c r="Y89" s="680"/>
      <c r="Z89" s="680"/>
      <c r="AA89" s="680"/>
    </row>
    <row r="90" spans="1:27" s="206" customFormat="1" ht="18.75" customHeight="1">
      <c r="A90" s="376"/>
      <c r="B90" s="150" t="s">
        <v>24</v>
      </c>
      <c r="C90" s="436"/>
      <c r="D90" s="387"/>
      <c r="E90" s="389"/>
      <c r="F90" s="127">
        <v>217000</v>
      </c>
      <c r="G90" s="126">
        <v>79000</v>
      </c>
      <c r="H90" s="84">
        <v>94000</v>
      </c>
      <c r="I90" s="138">
        <v>44000</v>
      </c>
      <c r="J90" s="84"/>
      <c r="K90" s="209"/>
      <c r="L90" s="124">
        <f>G90+H90+I90+J90+K90</f>
        <v>217000</v>
      </c>
      <c r="M90" s="143"/>
      <c r="N90" s="363"/>
      <c r="O90" s="123">
        <f>F90-(G90+H90+I90+J90+K90+P90+Q90+R90+S90+T90)</f>
        <v>0</v>
      </c>
      <c r="P90" s="121">
        <v>0</v>
      </c>
      <c r="Q90" s="121"/>
      <c r="R90" s="121"/>
      <c r="S90" s="121"/>
      <c r="T90" s="120"/>
      <c r="U90" s="119">
        <f>SUM(P90:T90)</f>
        <v>0</v>
      </c>
      <c r="V90" s="363"/>
      <c r="X90" s="680"/>
      <c r="Y90" s="680"/>
      <c r="Z90" s="680"/>
      <c r="AA90" s="680"/>
    </row>
    <row r="91" spans="1:27" s="206" customFormat="1" ht="18.75" customHeight="1" thickBot="1">
      <c r="A91" s="377"/>
      <c r="B91" s="148" t="s">
        <v>23</v>
      </c>
      <c r="C91" s="437"/>
      <c r="D91" s="388"/>
      <c r="E91" s="390"/>
      <c r="F91" s="117"/>
      <c r="G91" s="116"/>
      <c r="H91" s="63"/>
      <c r="I91" s="208"/>
      <c r="J91" s="63"/>
      <c r="K91" s="207"/>
      <c r="L91" s="124">
        <f>G91+H91+I91+J91+K91</f>
        <v>0</v>
      </c>
      <c r="M91" s="143"/>
      <c r="N91" s="364"/>
      <c r="O91" s="113">
        <f>F91-(G91+H91+I91+J91+K91+P91+Q91+R91+S91+T91)</f>
        <v>0</v>
      </c>
      <c r="P91" s="111">
        <v>0</v>
      </c>
      <c r="Q91" s="111"/>
      <c r="R91" s="111"/>
      <c r="S91" s="111"/>
      <c r="T91" s="110"/>
      <c r="U91" s="109">
        <f>SUM(P91:T91)</f>
        <v>0</v>
      </c>
      <c r="V91" s="364"/>
      <c r="X91" s="373"/>
      <c r="Y91" s="373"/>
      <c r="Z91" s="373"/>
      <c r="AA91" s="373"/>
    </row>
    <row r="92" spans="1:27" s="206" customFormat="1" ht="39" customHeight="1">
      <c r="A92" s="375">
        <v>16</v>
      </c>
      <c r="B92" s="210" t="s">
        <v>101</v>
      </c>
      <c r="C92" s="450" t="s">
        <v>54</v>
      </c>
      <c r="D92" s="448" t="s">
        <v>10</v>
      </c>
      <c r="E92" s="449" t="s">
        <v>100</v>
      </c>
      <c r="F92" s="413">
        <v>545780</v>
      </c>
      <c r="G92" s="378">
        <v>282930</v>
      </c>
      <c r="H92" s="392">
        <v>262850</v>
      </c>
      <c r="I92" s="431"/>
      <c r="J92" s="392"/>
      <c r="K92" s="451"/>
      <c r="L92" s="453">
        <f>G92+H92+I92+J92+K92</f>
        <v>545780</v>
      </c>
      <c r="M92" s="143"/>
      <c r="N92" s="362" t="s">
        <v>99</v>
      </c>
      <c r="O92" s="440">
        <f>F92-(G92+H92+I92+J92+K92+P92+Q92+R92+S92+T92)</f>
        <v>0</v>
      </c>
      <c r="P92" s="369">
        <f>P94+P95</f>
        <v>0</v>
      </c>
      <c r="Q92" s="369">
        <f>Q94+Q95</f>
        <v>0</v>
      </c>
      <c r="R92" s="369">
        <f>R94+R95</f>
        <v>0</v>
      </c>
      <c r="S92" s="369">
        <f>S94+S95</f>
        <v>0</v>
      </c>
      <c r="T92" s="370">
        <f>T94+T95</f>
        <v>0</v>
      </c>
      <c r="U92" s="368">
        <v>0</v>
      </c>
      <c r="V92" s="362" t="s">
        <v>197</v>
      </c>
      <c r="X92" s="679">
        <v>240491</v>
      </c>
      <c r="Y92" s="679">
        <v>42439</v>
      </c>
      <c r="Z92" s="679">
        <v>0</v>
      </c>
      <c r="AA92" s="679">
        <v>0</v>
      </c>
    </row>
    <row r="93" spans="1:27" s="206" customFormat="1" ht="47.25" customHeight="1">
      <c r="A93" s="376"/>
      <c r="B93" s="150" t="s">
        <v>98</v>
      </c>
      <c r="C93" s="436"/>
      <c r="D93" s="387"/>
      <c r="E93" s="389"/>
      <c r="F93" s="391"/>
      <c r="G93" s="379"/>
      <c r="H93" s="393"/>
      <c r="I93" s="432"/>
      <c r="J93" s="393"/>
      <c r="K93" s="452"/>
      <c r="L93" s="454"/>
      <c r="M93" s="143"/>
      <c r="N93" s="363"/>
      <c r="O93" s="549"/>
      <c r="P93" s="373"/>
      <c r="Q93" s="373"/>
      <c r="R93" s="373"/>
      <c r="S93" s="373"/>
      <c r="T93" s="575"/>
      <c r="U93" s="374"/>
      <c r="V93" s="363"/>
      <c r="X93" s="680"/>
      <c r="Y93" s="680"/>
      <c r="Z93" s="680"/>
      <c r="AA93" s="680"/>
    </row>
    <row r="94" spans="1:27" s="206" customFormat="1" ht="18.75" customHeight="1">
      <c r="A94" s="376"/>
      <c r="B94" s="150" t="s">
        <v>24</v>
      </c>
      <c r="C94" s="436"/>
      <c r="D94" s="387"/>
      <c r="E94" s="389"/>
      <c r="F94" s="127">
        <v>545780</v>
      </c>
      <c r="G94" s="126">
        <v>282930</v>
      </c>
      <c r="H94" s="84">
        <v>262850</v>
      </c>
      <c r="I94" s="138"/>
      <c r="J94" s="84"/>
      <c r="K94" s="209"/>
      <c r="L94" s="124">
        <f>G94+H94+I94+J94+K94</f>
        <v>545780</v>
      </c>
      <c r="M94" s="143"/>
      <c r="N94" s="363"/>
      <c r="O94" s="123">
        <f aca="true" t="shared" si="15" ref="O94:O102">F94-(G94+H94+I94+J94+K94+P94+Q94+R94+S94+T94)</f>
        <v>0</v>
      </c>
      <c r="P94" s="121">
        <v>0</v>
      </c>
      <c r="Q94" s="121"/>
      <c r="R94" s="121"/>
      <c r="S94" s="121"/>
      <c r="T94" s="120"/>
      <c r="U94" s="119">
        <f aca="true" t="shared" si="16" ref="U94:U102">SUM(P94:T94)</f>
        <v>0</v>
      </c>
      <c r="V94" s="363"/>
      <c r="X94" s="680"/>
      <c r="Y94" s="680"/>
      <c r="Z94" s="680"/>
      <c r="AA94" s="680"/>
    </row>
    <row r="95" spans="1:27" s="206" customFormat="1" ht="18.75" customHeight="1" thickBot="1">
      <c r="A95" s="377"/>
      <c r="B95" s="148" t="s">
        <v>23</v>
      </c>
      <c r="C95" s="437"/>
      <c r="D95" s="388"/>
      <c r="E95" s="390"/>
      <c r="F95" s="117"/>
      <c r="G95" s="154"/>
      <c r="H95" s="63"/>
      <c r="I95" s="208"/>
      <c r="J95" s="63"/>
      <c r="K95" s="207"/>
      <c r="L95" s="124">
        <f>G95+H95+I95+J95+K95</f>
        <v>0</v>
      </c>
      <c r="M95" s="143"/>
      <c r="N95" s="364"/>
      <c r="O95" s="113">
        <f t="shared" si="15"/>
        <v>0</v>
      </c>
      <c r="P95" s="111">
        <v>0</v>
      </c>
      <c r="Q95" s="111"/>
      <c r="R95" s="111"/>
      <c r="S95" s="111"/>
      <c r="T95" s="110"/>
      <c r="U95" s="109">
        <f t="shared" si="16"/>
        <v>0</v>
      </c>
      <c r="V95" s="364"/>
      <c r="X95" s="681"/>
      <c r="Y95" s="681"/>
      <c r="Z95" s="681"/>
      <c r="AA95" s="681"/>
    </row>
    <row r="96" spans="1:27" s="107" customFormat="1" ht="20.25" customHeight="1">
      <c r="A96" s="354" t="s">
        <v>97</v>
      </c>
      <c r="B96" s="445" t="s">
        <v>96</v>
      </c>
      <c r="C96" s="446"/>
      <c r="D96" s="446"/>
      <c r="E96" s="447"/>
      <c r="F96" s="205">
        <f>F99+F102+F106+F110+F114+F118+F122+F125+F128+F131+F134+F137+F141+F145+F149</f>
        <v>44021894</v>
      </c>
      <c r="G96" s="204">
        <f>G99+G102+G106+G110+G114+G118+G122+G125+G128+G131+G134+G137+G141+G145+G149</f>
        <v>3725960</v>
      </c>
      <c r="H96" s="202">
        <f>H99+H102+H106+H110+H114+H118+H122+H125+H128+H131+H134+H137+H141+H145+H149</f>
        <v>8191450</v>
      </c>
      <c r="I96" s="202">
        <f>I99+I102+I106+I110+I114+I118+I122+I125+I128+I131+I134+I137+I141+I145+I149</f>
        <v>22083109</v>
      </c>
      <c r="J96" s="202">
        <f>J99+J102+J106+J110+J114+J118+J122+J125+J128+J131+J134+J137+J141+J145+J149</f>
        <v>2870900</v>
      </c>
      <c r="K96" s="201">
        <f>K99+K102+K106+K110+K114+K118+K122+K125+K128+K131+K137+K141+K145+K149</f>
        <v>923100</v>
      </c>
      <c r="L96" s="200">
        <f>L99+L102+L106+L110+L114+L118+L122+L125+L128+L131+L134+L137+L141+L145+L149</f>
        <v>37794519</v>
      </c>
      <c r="M96" s="188"/>
      <c r="N96" s="458" t="s">
        <v>95</v>
      </c>
      <c r="O96" s="199">
        <f t="shared" si="15"/>
        <v>0</v>
      </c>
      <c r="P96" s="198">
        <f>P99+P102+P106+P110+P114+P118+P122+P125+P128+P131+P134+P137+P141+P145+P149</f>
        <v>5774229</v>
      </c>
      <c r="Q96" s="198">
        <f>Q99+Q102+Q106+Q110+Q114+Q118+Q122+Q125+Q128+Q131+Q134+Q137+Q141+Q145+Q149</f>
        <v>426146</v>
      </c>
      <c r="R96" s="198">
        <f>R99+R102+R106+R110+R114+R118+R122+R125+R128+R131+R134+R137+R141+R145+R149</f>
        <v>0</v>
      </c>
      <c r="S96" s="198">
        <f>S99+S102+S106+S110+S114+S118+S122+S125+S128+S131+S134+S137+S141+S145+S149</f>
        <v>0</v>
      </c>
      <c r="T96" s="197">
        <f>T99+T102+T106+T110+T114+T118+T122+T125+T128+T131+T134+T137+T141+T145+T149</f>
        <v>27000</v>
      </c>
      <c r="U96" s="170">
        <f t="shared" si="16"/>
        <v>6227375</v>
      </c>
      <c r="V96" s="458" t="s">
        <v>95</v>
      </c>
      <c r="X96" s="597">
        <f>SUM(X99:X152)</f>
        <v>0</v>
      </c>
      <c r="Y96" s="597">
        <f>SUM(Y99:Y152)</f>
        <v>0</v>
      </c>
      <c r="Z96" s="597">
        <f>SUM(Z99:Z152)</f>
        <v>0</v>
      </c>
      <c r="AA96" s="597">
        <f>SUM(AA99:AA152)</f>
        <v>854123</v>
      </c>
    </row>
    <row r="97" spans="1:27" s="107" customFormat="1" ht="20.25" customHeight="1">
      <c r="A97" s="351"/>
      <c r="B97" s="433" t="s">
        <v>20</v>
      </c>
      <c r="C97" s="434"/>
      <c r="D97" s="434"/>
      <c r="E97" s="435"/>
      <c r="F97" s="127">
        <f aca="true" t="shared" si="17" ref="F97:L97">F100+F104+F108+F112+F116+F120+F123+F126+F129+F132+F135+F139+F143+F147+F151</f>
        <v>4503164</v>
      </c>
      <c r="G97" s="196">
        <f>G100+G104+G108+G112+G116+G120+G123+G126+G129+G132+G135+G139+G143+G147+G151</f>
        <v>641964</v>
      </c>
      <c r="H97" s="102">
        <f t="shared" si="17"/>
        <v>871700</v>
      </c>
      <c r="I97" s="102">
        <f t="shared" si="17"/>
        <v>710900</v>
      </c>
      <c r="J97" s="102">
        <f t="shared" si="17"/>
        <v>870900</v>
      </c>
      <c r="K97" s="102">
        <f t="shared" si="17"/>
        <v>923100</v>
      </c>
      <c r="L97" s="124">
        <f t="shared" si="17"/>
        <v>4018564</v>
      </c>
      <c r="M97" s="188"/>
      <c r="N97" s="359"/>
      <c r="O97" s="194">
        <f t="shared" si="15"/>
        <v>0</v>
      </c>
      <c r="P97" s="193">
        <f aca="true" t="shared" si="18" ref="P97:T98">P100+P104+P108+P112+P116+P120+P123+P126+P129+P132+P135+P139+P143+P147+P151</f>
        <v>484600</v>
      </c>
      <c r="Q97" s="193">
        <f t="shared" si="18"/>
        <v>0</v>
      </c>
      <c r="R97" s="193">
        <f t="shared" si="18"/>
        <v>0</v>
      </c>
      <c r="S97" s="193">
        <f t="shared" si="18"/>
        <v>0</v>
      </c>
      <c r="T97" s="192">
        <f t="shared" si="18"/>
        <v>0</v>
      </c>
      <c r="U97" s="119">
        <f t="shared" si="16"/>
        <v>484600</v>
      </c>
      <c r="V97" s="359"/>
      <c r="X97" s="598"/>
      <c r="Y97" s="598"/>
      <c r="Z97" s="598"/>
      <c r="AA97" s="598"/>
    </row>
    <row r="98" spans="1:27" s="107" customFormat="1" ht="20.25" customHeight="1" thickBot="1">
      <c r="A98" s="352"/>
      <c r="B98" s="442" t="s">
        <v>25</v>
      </c>
      <c r="C98" s="443"/>
      <c r="D98" s="443"/>
      <c r="E98" s="444"/>
      <c r="F98" s="117">
        <f aca="true" t="shared" si="19" ref="F98:L98">F101+F105+F109+F113+F117+F121+F124+F127+F130+F133+F136+F140+F144+F148+F152</f>
        <v>39518730</v>
      </c>
      <c r="G98" s="191">
        <f>G101+G105+G109+G113+G117+G121+G124+G127+G130+G133+G136+G140+G144+G148+G152</f>
        <v>3083996</v>
      </c>
      <c r="H98" s="189">
        <f t="shared" si="19"/>
        <v>7319750</v>
      </c>
      <c r="I98" s="189">
        <f t="shared" si="19"/>
        <v>21372209</v>
      </c>
      <c r="J98" s="189">
        <f t="shared" si="19"/>
        <v>2000000</v>
      </c>
      <c r="K98" s="189">
        <f t="shared" si="19"/>
        <v>0</v>
      </c>
      <c r="L98" s="114">
        <f t="shared" si="19"/>
        <v>33775955</v>
      </c>
      <c r="M98" s="188"/>
      <c r="N98" s="678"/>
      <c r="O98" s="187">
        <f t="shared" si="15"/>
        <v>0</v>
      </c>
      <c r="P98" s="186">
        <f t="shared" si="18"/>
        <v>5289629</v>
      </c>
      <c r="Q98" s="186">
        <f t="shared" si="18"/>
        <v>426146</v>
      </c>
      <c r="R98" s="186">
        <f t="shared" si="18"/>
        <v>0</v>
      </c>
      <c r="S98" s="186">
        <f t="shared" si="18"/>
        <v>0</v>
      </c>
      <c r="T98" s="185">
        <f t="shared" si="18"/>
        <v>27000</v>
      </c>
      <c r="U98" s="109">
        <f t="shared" si="16"/>
        <v>5742775</v>
      </c>
      <c r="V98" s="678"/>
      <c r="X98" s="599"/>
      <c r="Y98" s="599"/>
      <c r="Z98" s="599"/>
      <c r="AA98" s="599"/>
    </row>
    <row r="99" spans="1:28" s="107" customFormat="1" ht="27.75" customHeight="1">
      <c r="A99" s="397">
        <v>17</v>
      </c>
      <c r="B99" s="158" t="s">
        <v>94</v>
      </c>
      <c r="C99" s="422" t="s">
        <v>93</v>
      </c>
      <c r="D99" s="405" t="s">
        <v>7</v>
      </c>
      <c r="E99" s="540" t="s">
        <v>92</v>
      </c>
      <c r="F99" s="169">
        <f>1149000</f>
        <v>1149000</v>
      </c>
      <c r="G99" s="184">
        <f>183000</f>
        <v>183000</v>
      </c>
      <c r="H99" s="167">
        <f>188000</f>
        <v>188000</v>
      </c>
      <c r="I99" s="167">
        <f>194000</f>
        <v>194000</v>
      </c>
      <c r="J99" s="167">
        <f>200000</f>
        <v>200000</v>
      </c>
      <c r="K99" s="166">
        <f>206000</f>
        <v>206000</v>
      </c>
      <c r="L99" s="165">
        <f>F99-U99</f>
        <v>971000</v>
      </c>
      <c r="M99" s="143"/>
      <c r="N99" s="362" t="s">
        <v>91</v>
      </c>
      <c r="O99" s="174">
        <f t="shared" si="15"/>
        <v>0</v>
      </c>
      <c r="P99" s="162">
        <f>P100+P101</f>
        <v>178000</v>
      </c>
      <c r="Q99" s="162">
        <f>Q100+Q101</f>
        <v>0</v>
      </c>
      <c r="R99" s="162">
        <f>R100+R101</f>
        <v>0</v>
      </c>
      <c r="S99" s="162">
        <f>S100+S101</f>
        <v>0</v>
      </c>
      <c r="T99" s="171">
        <f>T100+T101</f>
        <v>0</v>
      </c>
      <c r="U99" s="170">
        <f t="shared" si="16"/>
        <v>178000</v>
      </c>
      <c r="V99" s="467" t="s">
        <v>90</v>
      </c>
      <c r="X99" s="593">
        <v>0</v>
      </c>
      <c r="Y99" s="593">
        <f>Y100+Y101</f>
        <v>0</v>
      </c>
      <c r="Z99" s="593">
        <f>Z100+Z101</f>
        <v>0</v>
      </c>
      <c r="AA99" s="593">
        <f>AA100+AA101</f>
        <v>0</v>
      </c>
      <c r="AB99" s="108"/>
    </row>
    <row r="100" spans="1:28" s="107" customFormat="1" ht="18.75" customHeight="1">
      <c r="A100" s="420"/>
      <c r="B100" s="128" t="s">
        <v>24</v>
      </c>
      <c r="C100" s="419"/>
      <c r="D100" s="407"/>
      <c r="E100" s="541"/>
      <c r="F100" s="127">
        <f>1149000</f>
        <v>1149000</v>
      </c>
      <c r="G100" s="183">
        <f>183000</f>
        <v>183000</v>
      </c>
      <c r="H100" s="84">
        <f>188000</f>
        <v>188000</v>
      </c>
      <c r="I100" s="84">
        <f>194000</f>
        <v>194000</v>
      </c>
      <c r="J100" s="84">
        <f>200000</f>
        <v>200000</v>
      </c>
      <c r="K100" s="125">
        <f>206000</f>
        <v>206000</v>
      </c>
      <c r="L100" s="124">
        <f>F100-U100</f>
        <v>971000</v>
      </c>
      <c r="M100" s="143"/>
      <c r="N100" s="363"/>
      <c r="O100" s="123">
        <f t="shared" si="15"/>
        <v>0</v>
      </c>
      <c r="P100" s="122">
        <f>178000</f>
        <v>178000</v>
      </c>
      <c r="Q100" s="121"/>
      <c r="R100" s="121"/>
      <c r="S100" s="121"/>
      <c r="T100" s="137"/>
      <c r="U100" s="119">
        <f t="shared" si="16"/>
        <v>178000</v>
      </c>
      <c r="V100" s="366"/>
      <c r="X100" s="574"/>
      <c r="Y100" s="574"/>
      <c r="Z100" s="574"/>
      <c r="AA100" s="574"/>
      <c r="AB100" s="108"/>
    </row>
    <row r="101" spans="1:28" s="107" customFormat="1" ht="18.75" customHeight="1" thickBot="1">
      <c r="A101" s="421"/>
      <c r="B101" s="118" t="s">
        <v>23</v>
      </c>
      <c r="C101" s="423"/>
      <c r="D101" s="408"/>
      <c r="E101" s="542"/>
      <c r="F101" s="117"/>
      <c r="G101" s="182"/>
      <c r="H101" s="63"/>
      <c r="I101" s="63"/>
      <c r="J101" s="63"/>
      <c r="K101" s="115"/>
      <c r="L101" s="114">
        <f>F101-U101</f>
        <v>0</v>
      </c>
      <c r="M101" s="143"/>
      <c r="N101" s="364"/>
      <c r="O101" s="113">
        <f t="shared" si="15"/>
        <v>0</v>
      </c>
      <c r="P101" s="112"/>
      <c r="Q101" s="111"/>
      <c r="R101" s="111"/>
      <c r="S101" s="111"/>
      <c r="T101" s="132"/>
      <c r="U101" s="109">
        <f t="shared" si="16"/>
        <v>0</v>
      </c>
      <c r="V101" s="552"/>
      <c r="X101" s="358"/>
      <c r="Y101" s="358"/>
      <c r="Z101" s="358"/>
      <c r="AA101" s="358"/>
      <c r="AB101" s="108"/>
    </row>
    <row r="102" spans="1:27" s="107" customFormat="1" ht="44.25" customHeight="1">
      <c r="A102" s="536">
        <v>18</v>
      </c>
      <c r="B102" s="130" t="s">
        <v>89</v>
      </c>
      <c r="C102" s="514" t="s">
        <v>86</v>
      </c>
      <c r="D102" s="517" t="s">
        <v>6</v>
      </c>
      <c r="E102" s="540" t="s">
        <v>88</v>
      </c>
      <c r="F102" s="413">
        <f>15237046</f>
        <v>15237046</v>
      </c>
      <c r="G102" s="378"/>
      <c r="H102" s="392"/>
      <c r="I102" s="392">
        <f>15000000</f>
        <v>15000000</v>
      </c>
      <c r="J102" s="392"/>
      <c r="K102" s="459"/>
      <c r="L102" s="453">
        <f>G102+H102+I102+J102+K102</f>
        <v>15000000</v>
      </c>
      <c r="M102" s="143"/>
      <c r="N102" s="181" t="s">
        <v>71</v>
      </c>
      <c r="O102" s="440">
        <f t="shared" si="15"/>
        <v>0</v>
      </c>
      <c r="P102" s="369">
        <f>P104+P105</f>
        <v>0</v>
      </c>
      <c r="Q102" s="369">
        <f>Q104+Q105</f>
        <v>237046</v>
      </c>
      <c r="R102" s="369">
        <f>R104+R105</f>
        <v>0</v>
      </c>
      <c r="S102" s="369">
        <f>S104+S105</f>
        <v>0</v>
      </c>
      <c r="T102" s="370">
        <f>T104+T105</f>
        <v>0</v>
      </c>
      <c r="U102" s="368">
        <f t="shared" si="16"/>
        <v>237046</v>
      </c>
      <c r="V102" s="675"/>
      <c r="X102" s="573">
        <f>X104+X105</f>
        <v>0</v>
      </c>
      <c r="Y102" s="573">
        <f>Y104+Y105</f>
        <v>0</v>
      </c>
      <c r="Z102" s="573">
        <f>Z104+Z105</f>
        <v>0</v>
      </c>
      <c r="AA102" s="573">
        <f>AA104+AA105</f>
        <v>0</v>
      </c>
    </row>
    <row r="103" spans="1:27" s="107" customFormat="1" ht="24.75" customHeight="1">
      <c r="A103" s="537"/>
      <c r="B103" s="129" t="s">
        <v>82</v>
      </c>
      <c r="C103" s="373"/>
      <c r="D103" s="535"/>
      <c r="E103" s="543"/>
      <c r="F103" s="394"/>
      <c r="G103" s="429"/>
      <c r="H103" s="462"/>
      <c r="I103" s="462"/>
      <c r="J103" s="462"/>
      <c r="K103" s="460"/>
      <c r="L103" s="454"/>
      <c r="M103" s="215"/>
      <c r="N103" s="180"/>
      <c r="O103" s="549"/>
      <c r="P103" s="373"/>
      <c r="Q103" s="373"/>
      <c r="R103" s="373"/>
      <c r="S103" s="373"/>
      <c r="T103" s="575"/>
      <c r="U103" s="374"/>
      <c r="V103" s="676"/>
      <c r="X103" s="574"/>
      <c r="Y103" s="574"/>
      <c r="Z103" s="574"/>
      <c r="AA103" s="574"/>
    </row>
    <row r="104" spans="1:27" s="107" customFormat="1" ht="18.75" customHeight="1">
      <c r="A104" s="538"/>
      <c r="B104" s="128" t="s">
        <v>24</v>
      </c>
      <c r="C104" s="492"/>
      <c r="D104" s="527"/>
      <c r="E104" s="504"/>
      <c r="F104" s="127"/>
      <c r="G104" s="126"/>
      <c r="H104" s="84"/>
      <c r="I104" s="84"/>
      <c r="J104" s="84"/>
      <c r="K104" s="125"/>
      <c r="L104" s="124">
        <f>G104+H104+I104+J104+K104</f>
        <v>0</v>
      </c>
      <c r="M104" s="143"/>
      <c r="N104" s="179"/>
      <c r="O104" s="123">
        <f>F104-(G104+H104+I104+J104+K104+P104+Q104+R104+S104+T104)</f>
        <v>0</v>
      </c>
      <c r="P104" s="122"/>
      <c r="Q104" s="121"/>
      <c r="R104" s="121"/>
      <c r="S104" s="121"/>
      <c r="T104" s="137"/>
      <c r="U104" s="119">
        <f>SUM(P104:T104)</f>
        <v>0</v>
      </c>
      <c r="V104" s="676"/>
      <c r="X104" s="574"/>
      <c r="Y104" s="574"/>
      <c r="Z104" s="574"/>
      <c r="AA104" s="574"/>
    </row>
    <row r="105" spans="1:27" s="107" customFormat="1" ht="18.75" customHeight="1" thickBot="1">
      <c r="A105" s="539"/>
      <c r="B105" s="118" t="s">
        <v>40</v>
      </c>
      <c r="C105" s="493"/>
      <c r="D105" s="528"/>
      <c r="E105" s="505"/>
      <c r="F105" s="117">
        <f>15237046</f>
        <v>15237046</v>
      </c>
      <c r="G105" s="116"/>
      <c r="H105" s="63"/>
      <c r="I105" s="63">
        <f>15000000</f>
        <v>15000000</v>
      </c>
      <c r="J105" s="63"/>
      <c r="K105" s="115"/>
      <c r="L105" s="114">
        <f>G105+H105+I105+J105+K105</f>
        <v>15000000</v>
      </c>
      <c r="M105" s="143"/>
      <c r="N105" s="178"/>
      <c r="O105" s="113">
        <f>F105-(G105+H105+I105+J105+K105+P105+Q105+R105+S105+T105)</f>
        <v>0</v>
      </c>
      <c r="P105" s="112"/>
      <c r="Q105" s="111">
        <v>237046</v>
      </c>
      <c r="R105" s="111"/>
      <c r="S105" s="111"/>
      <c r="T105" s="132"/>
      <c r="U105" s="109">
        <f>SUM(P105:T105)</f>
        <v>237046</v>
      </c>
      <c r="V105" s="677"/>
      <c r="X105" s="358"/>
      <c r="Y105" s="358"/>
      <c r="Z105" s="358"/>
      <c r="AA105" s="358"/>
    </row>
    <row r="106" spans="1:27" s="108" customFormat="1" ht="62.25" customHeight="1">
      <c r="A106" s="398">
        <v>19</v>
      </c>
      <c r="B106" s="130" t="s">
        <v>87</v>
      </c>
      <c r="C106" s="422" t="s">
        <v>86</v>
      </c>
      <c r="D106" s="424" t="s">
        <v>6</v>
      </c>
      <c r="E106" s="502" t="s">
        <v>85</v>
      </c>
      <c r="F106" s="413">
        <f>14668467</f>
        <v>14668467</v>
      </c>
      <c r="G106" s="378"/>
      <c r="H106" s="392">
        <v>4000000</v>
      </c>
      <c r="I106" s="392">
        <v>5602209</v>
      </c>
      <c r="J106" s="392"/>
      <c r="K106" s="459"/>
      <c r="L106" s="453">
        <f>G106+H106+I106+J106+K106</f>
        <v>9602209</v>
      </c>
      <c r="M106" s="143"/>
      <c r="N106" s="467" t="s">
        <v>84</v>
      </c>
      <c r="O106" s="440">
        <f>F106-(G106+H106+I106+J106+K106+P106+Q106+R106+S106+T106)</f>
        <v>0</v>
      </c>
      <c r="P106" s="369">
        <f>P108+P109</f>
        <v>4877158</v>
      </c>
      <c r="Q106" s="369">
        <f>Q108+Q109</f>
        <v>189100</v>
      </c>
      <c r="R106" s="369">
        <f>R108+R109</f>
        <v>0</v>
      </c>
      <c r="S106" s="369">
        <f>S108+S109</f>
        <v>0</v>
      </c>
      <c r="T106" s="370">
        <f>T108+T109</f>
        <v>0</v>
      </c>
      <c r="U106" s="368">
        <f>SUM(P106:T106)</f>
        <v>5066258</v>
      </c>
      <c r="V106" s="362" t="s">
        <v>83</v>
      </c>
      <c r="X106" s="573">
        <f>X108+X109</f>
        <v>0</v>
      </c>
      <c r="Y106" s="573">
        <f>Y108+Y109</f>
        <v>0</v>
      </c>
      <c r="Z106" s="573">
        <f>Z108+Z109</f>
        <v>0</v>
      </c>
      <c r="AA106" s="573">
        <v>0</v>
      </c>
    </row>
    <row r="107" spans="1:27" s="108" customFormat="1" ht="33.75" customHeight="1">
      <c r="A107" s="398"/>
      <c r="B107" s="129" t="s">
        <v>82</v>
      </c>
      <c r="C107" s="418"/>
      <c r="D107" s="380"/>
      <c r="E107" s="503"/>
      <c r="F107" s="394"/>
      <c r="G107" s="429"/>
      <c r="H107" s="462"/>
      <c r="I107" s="462"/>
      <c r="J107" s="462"/>
      <c r="K107" s="460"/>
      <c r="L107" s="454"/>
      <c r="M107" s="215"/>
      <c r="N107" s="366"/>
      <c r="O107" s="549"/>
      <c r="P107" s="373"/>
      <c r="Q107" s="373"/>
      <c r="R107" s="373"/>
      <c r="S107" s="373"/>
      <c r="T107" s="575"/>
      <c r="U107" s="374"/>
      <c r="V107" s="363"/>
      <c r="X107" s="574"/>
      <c r="Y107" s="574"/>
      <c r="Z107" s="574"/>
      <c r="AA107" s="574"/>
    </row>
    <row r="108" spans="1:27" s="108" customFormat="1" ht="18.75" customHeight="1">
      <c r="A108" s="512"/>
      <c r="B108" s="128" t="s">
        <v>24</v>
      </c>
      <c r="C108" s="419"/>
      <c r="D108" s="407"/>
      <c r="E108" s="504"/>
      <c r="F108" s="127"/>
      <c r="G108" s="126"/>
      <c r="H108" s="84"/>
      <c r="I108" s="84"/>
      <c r="J108" s="84"/>
      <c r="K108" s="125"/>
      <c r="L108" s="124">
        <f>G108+H108+I108+J108+K108</f>
        <v>0</v>
      </c>
      <c r="M108" s="143"/>
      <c r="N108" s="366"/>
      <c r="O108" s="123">
        <f>F108-(G108+H108+I108+J108+K108+P108+Q108+R108+S108+T108)</f>
        <v>0</v>
      </c>
      <c r="P108" s="122"/>
      <c r="Q108" s="121"/>
      <c r="R108" s="121"/>
      <c r="S108" s="121"/>
      <c r="T108" s="137"/>
      <c r="U108" s="119">
        <f>SUM(P108:T108)</f>
        <v>0</v>
      </c>
      <c r="V108" s="363"/>
      <c r="X108" s="574"/>
      <c r="Y108" s="574"/>
      <c r="Z108" s="574"/>
      <c r="AA108" s="574"/>
    </row>
    <row r="109" spans="1:27" s="108" customFormat="1" ht="18.75" customHeight="1" thickBot="1">
      <c r="A109" s="513"/>
      <c r="B109" s="118" t="s">
        <v>23</v>
      </c>
      <c r="C109" s="423"/>
      <c r="D109" s="408"/>
      <c r="E109" s="505"/>
      <c r="F109" s="117">
        <f>14668467</f>
        <v>14668467</v>
      </c>
      <c r="G109" s="116"/>
      <c r="H109" s="63">
        <v>4000000</v>
      </c>
      <c r="I109" s="63">
        <v>5602209</v>
      </c>
      <c r="J109" s="63"/>
      <c r="K109" s="115"/>
      <c r="L109" s="114">
        <f>G109+H109+I109+J109+K109</f>
        <v>9602209</v>
      </c>
      <c r="M109" s="143"/>
      <c r="N109" s="552"/>
      <c r="O109" s="113">
        <f>F109-(G109+H109+I109+J109+K109+P109+Q109+R109+S109+T109)</f>
        <v>0</v>
      </c>
      <c r="P109" s="152">
        <v>4877158</v>
      </c>
      <c r="Q109" s="141">
        <v>189100</v>
      </c>
      <c r="R109" s="141"/>
      <c r="S109" s="141"/>
      <c r="T109" s="140"/>
      <c r="U109" s="109">
        <f>SUM(P109:T109)</f>
        <v>5066258</v>
      </c>
      <c r="V109" s="364"/>
      <c r="X109" s="358"/>
      <c r="Y109" s="358"/>
      <c r="Z109" s="358"/>
      <c r="AA109" s="358"/>
    </row>
    <row r="110" spans="1:27" s="107" customFormat="1" ht="48" customHeight="1">
      <c r="A110" s="397">
        <v>20</v>
      </c>
      <c r="B110" s="130" t="s">
        <v>81</v>
      </c>
      <c r="C110" s="514" t="s">
        <v>80</v>
      </c>
      <c r="D110" s="517" t="s">
        <v>6</v>
      </c>
      <c r="E110" s="502" t="s">
        <v>79</v>
      </c>
      <c r="F110" s="413">
        <f>2031980</f>
        <v>2031980</v>
      </c>
      <c r="G110" s="378"/>
      <c r="H110" s="392"/>
      <c r="I110" s="392"/>
      <c r="J110" s="392">
        <v>2000000</v>
      </c>
      <c r="K110" s="459"/>
      <c r="L110" s="453">
        <f>G110+H110+I110+J110+K110</f>
        <v>2000000</v>
      </c>
      <c r="M110" s="143"/>
      <c r="N110" s="176" t="s">
        <v>78</v>
      </c>
      <c r="O110" s="440">
        <f>F110-(G110+H110+I110+J110+K110+P110+Q110+R110+S110+T110)</f>
        <v>0</v>
      </c>
      <c r="P110" s="369">
        <f>P112+P113</f>
        <v>31980</v>
      </c>
      <c r="Q110" s="369">
        <f>Q112+Q113</f>
        <v>0</v>
      </c>
      <c r="R110" s="369">
        <f>R112+R113</f>
        <v>0</v>
      </c>
      <c r="S110" s="369">
        <f>S112+S113</f>
        <v>0</v>
      </c>
      <c r="T110" s="370">
        <f>T112+T113</f>
        <v>0</v>
      </c>
      <c r="U110" s="368">
        <f>SUM(P110:T110)</f>
        <v>31980</v>
      </c>
      <c r="V110" s="362" t="s">
        <v>77</v>
      </c>
      <c r="X110" s="573">
        <f>X112+X113</f>
        <v>0</v>
      </c>
      <c r="Y110" s="573">
        <f>Y112+Y113</f>
        <v>0</v>
      </c>
      <c r="Z110" s="573">
        <f>Z112+Z113</f>
        <v>0</v>
      </c>
      <c r="AA110" s="573">
        <f>AA112+AA113</f>
        <v>0</v>
      </c>
    </row>
    <row r="111" spans="1:27" s="107" customFormat="1" ht="30" customHeight="1">
      <c r="A111" s="398"/>
      <c r="B111" s="129" t="s">
        <v>76</v>
      </c>
      <c r="C111" s="373"/>
      <c r="D111" s="535"/>
      <c r="E111" s="503"/>
      <c r="F111" s="394"/>
      <c r="G111" s="429"/>
      <c r="H111" s="462"/>
      <c r="I111" s="462"/>
      <c r="J111" s="462"/>
      <c r="K111" s="460"/>
      <c r="L111" s="454"/>
      <c r="M111" s="215"/>
      <c r="N111" s="175"/>
      <c r="O111" s="549"/>
      <c r="P111" s="373"/>
      <c r="Q111" s="373"/>
      <c r="R111" s="373"/>
      <c r="S111" s="373"/>
      <c r="T111" s="575"/>
      <c r="U111" s="374"/>
      <c r="V111" s="363"/>
      <c r="X111" s="574"/>
      <c r="Y111" s="574"/>
      <c r="Z111" s="574"/>
      <c r="AA111" s="574"/>
    </row>
    <row r="112" spans="1:27" s="107" customFormat="1" ht="18.75" customHeight="1">
      <c r="A112" s="512"/>
      <c r="B112" s="128" t="s">
        <v>24</v>
      </c>
      <c r="C112" s="523"/>
      <c r="D112" s="527"/>
      <c r="E112" s="504"/>
      <c r="F112" s="127"/>
      <c r="G112" s="126"/>
      <c r="H112" s="84"/>
      <c r="I112" s="84"/>
      <c r="J112" s="84"/>
      <c r="K112" s="125"/>
      <c r="L112" s="124">
        <f>G112+H112+I112+J112+K112</f>
        <v>0</v>
      </c>
      <c r="M112" s="143"/>
      <c r="N112" s="156" t="s">
        <v>71</v>
      </c>
      <c r="O112" s="123">
        <f>F112-(G112+H112+I112+J112+K112+P112+Q112+R112+S112+T112)</f>
        <v>0</v>
      </c>
      <c r="P112" s="122"/>
      <c r="Q112" s="121"/>
      <c r="R112" s="121"/>
      <c r="S112" s="121"/>
      <c r="T112" s="137"/>
      <c r="U112" s="119">
        <f>SUM(P112:T112)</f>
        <v>0</v>
      </c>
      <c r="V112" s="363"/>
      <c r="X112" s="574"/>
      <c r="Y112" s="574"/>
      <c r="Z112" s="574"/>
      <c r="AA112" s="574"/>
    </row>
    <row r="113" spans="1:27" s="107" customFormat="1" ht="18.75" customHeight="1" thickBot="1">
      <c r="A113" s="513"/>
      <c r="B113" s="118" t="s">
        <v>40</v>
      </c>
      <c r="C113" s="530"/>
      <c r="D113" s="528"/>
      <c r="E113" s="505"/>
      <c r="F113" s="117">
        <f>2031980</f>
        <v>2031980</v>
      </c>
      <c r="G113" s="116"/>
      <c r="H113" s="63"/>
      <c r="I113" s="63"/>
      <c r="J113" s="63">
        <v>2000000</v>
      </c>
      <c r="K113" s="115"/>
      <c r="L113" s="114">
        <f>G113+H113+I113+J113+K113</f>
        <v>2000000</v>
      </c>
      <c r="M113" s="143"/>
      <c r="N113" s="177"/>
      <c r="O113" s="113">
        <f>F113-(G113+H113+I113+J113+K113+P113+Q113+R113+S113+T113)</f>
        <v>0</v>
      </c>
      <c r="P113" s="112">
        <v>31980</v>
      </c>
      <c r="Q113" s="111"/>
      <c r="R113" s="111"/>
      <c r="S113" s="111"/>
      <c r="T113" s="132"/>
      <c r="U113" s="109">
        <f>SUM(P113:T113)</f>
        <v>31980</v>
      </c>
      <c r="V113" s="364"/>
      <c r="X113" s="358"/>
      <c r="Y113" s="358"/>
      <c r="Z113" s="358"/>
      <c r="AA113" s="358"/>
    </row>
    <row r="114" spans="1:27" s="108" customFormat="1" ht="26.25" customHeight="1">
      <c r="A114" s="397">
        <v>21</v>
      </c>
      <c r="B114" s="130" t="s">
        <v>75</v>
      </c>
      <c r="C114" s="514" t="s">
        <v>34</v>
      </c>
      <c r="D114" s="517" t="s">
        <v>6</v>
      </c>
      <c r="E114" s="502" t="s">
        <v>74</v>
      </c>
      <c r="F114" s="413">
        <f>730000-119520</f>
        <v>610480</v>
      </c>
      <c r="G114" s="378">
        <f>300000-119520</f>
        <v>180480</v>
      </c>
      <c r="H114" s="392">
        <f>300000</f>
        <v>300000</v>
      </c>
      <c r="I114" s="392"/>
      <c r="J114" s="392"/>
      <c r="K114" s="459"/>
      <c r="L114" s="453">
        <f>G114+H114+I114+J114+K114</f>
        <v>480480</v>
      </c>
      <c r="M114" s="143"/>
      <c r="N114" s="176" t="s">
        <v>73</v>
      </c>
      <c r="O114" s="440">
        <f>F114-(G114+H114+I114+J114+K114+P114+Q114+R114+S114+T114)</f>
        <v>0</v>
      </c>
      <c r="P114" s="369">
        <f>130000</f>
        <v>130000</v>
      </c>
      <c r="Q114" s="369">
        <f>Q116+Q117</f>
        <v>0</v>
      </c>
      <c r="R114" s="369">
        <f>R116+R117</f>
        <v>0</v>
      </c>
      <c r="S114" s="369">
        <f>S116+S117</f>
        <v>0</v>
      </c>
      <c r="T114" s="370">
        <f>T116+T117</f>
        <v>0</v>
      </c>
      <c r="U114" s="170">
        <f>SUM(P114:T114)</f>
        <v>130000</v>
      </c>
      <c r="V114" s="362" t="s">
        <v>72</v>
      </c>
      <c r="X114" s="573">
        <f>X116+X117</f>
        <v>0</v>
      </c>
      <c r="Y114" s="573">
        <f>Y116+Y117</f>
        <v>0</v>
      </c>
      <c r="Z114" s="573">
        <f>Z116+Z117</f>
        <v>0</v>
      </c>
      <c r="AA114" s="573">
        <v>150000</v>
      </c>
    </row>
    <row r="115" spans="1:27" s="108" customFormat="1" ht="24" customHeight="1">
      <c r="A115" s="398"/>
      <c r="B115" s="129" t="s">
        <v>67</v>
      </c>
      <c r="C115" s="373"/>
      <c r="D115" s="535"/>
      <c r="E115" s="503"/>
      <c r="F115" s="414"/>
      <c r="G115" s="438"/>
      <c r="H115" s="462"/>
      <c r="I115" s="462"/>
      <c r="J115" s="462"/>
      <c r="K115" s="460"/>
      <c r="L115" s="454"/>
      <c r="M115" s="215"/>
      <c r="N115" s="175"/>
      <c r="O115" s="549"/>
      <c r="P115" s="373"/>
      <c r="Q115" s="373"/>
      <c r="R115" s="373"/>
      <c r="S115" s="373"/>
      <c r="T115" s="575"/>
      <c r="U115" s="119"/>
      <c r="V115" s="363"/>
      <c r="X115" s="574"/>
      <c r="Y115" s="574"/>
      <c r="Z115" s="574"/>
      <c r="AA115" s="574"/>
    </row>
    <row r="116" spans="1:27" s="108" customFormat="1" ht="18.75" customHeight="1">
      <c r="A116" s="512"/>
      <c r="B116" s="128" t="s">
        <v>24</v>
      </c>
      <c r="C116" s="523"/>
      <c r="D116" s="527"/>
      <c r="E116" s="504"/>
      <c r="F116" s="127"/>
      <c r="G116" s="126"/>
      <c r="H116" s="84"/>
      <c r="I116" s="84"/>
      <c r="J116" s="84"/>
      <c r="K116" s="125"/>
      <c r="L116" s="124">
        <f>G116+H116+I116+J116+K116</f>
        <v>0</v>
      </c>
      <c r="M116" s="143"/>
      <c r="N116" s="156" t="s">
        <v>71</v>
      </c>
      <c r="O116" s="123">
        <f>F116-(G116+H116+I116+J116+K116+P116+Q116+R116+S116+T116)</f>
        <v>0</v>
      </c>
      <c r="P116" s="122"/>
      <c r="Q116" s="121"/>
      <c r="R116" s="121"/>
      <c r="S116" s="121"/>
      <c r="T116" s="137"/>
      <c r="U116" s="119">
        <f>SUM(P116:T116)</f>
        <v>0</v>
      </c>
      <c r="V116" s="363"/>
      <c r="X116" s="574"/>
      <c r="Y116" s="574"/>
      <c r="Z116" s="574"/>
      <c r="AA116" s="574"/>
    </row>
    <row r="117" spans="1:27" s="108" customFormat="1" ht="18.75" customHeight="1" thickBot="1">
      <c r="A117" s="513"/>
      <c r="B117" s="118" t="s">
        <v>40</v>
      </c>
      <c r="C117" s="530"/>
      <c r="D117" s="528"/>
      <c r="E117" s="505"/>
      <c r="F117" s="117">
        <f>730000-119520</f>
        <v>610480</v>
      </c>
      <c r="G117" s="116">
        <f>300000-119520</f>
        <v>180480</v>
      </c>
      <c r="H117" s="63">
        <f>300000</f>
        <v>300000</v>
      </c>
      <c r="I117" s="63"/>
      <c r="J117" s="63"/>
      <c r="K117" s="115"/>
      <c r="L117" s="114">
        <f>G117+H117+I117+J117+K117</f>
        <v>480480</v>
      </c>
      <c r="M117" s="143"/>
      <c r="N117" s="177"/>
      <c r="O117" s="113">
        <f>F117-(G117+H117+I117+J117+K117+P117+Q117+R117+S117+T117)</f>
        <v>0</v>
      </c>
      <c r="P117" s="112">
        <f>130000</f>
        <v>130000</v>
      </c>
      <c r="Q117" s="111"/>
      <c r="R117" s="111"/>
      <c r="S117" s="111"/>
      <c r="T117" s="132"/>
      <c r="U117" s="109">
        <f>SUM(P117:T117)</f>
        <v>130000</v>
      </c>
      <c r="V117" s="364"/>
      <c r="X117" s="358"/>
      <c r="Y117" s="358"/>
      <c r="Z117" s="358"/>
      <c r="AA117" s="358"/>
    </row>
    <row r="118" spans="1:27" s="107" customFormat="1" ht="40.5" customHeight="1">
      <c r="A118" s="397">
        <v>22</v>
      </c>
      <c r="B118" s="130" t="s">
        <v>70</v>
      </c>
      <c r="C118" s="514" t="s">
        <v>44</v>
      </c>
      <c r="D118" s="517" t="s">
        <v>6</v>
      </c>
      <c r="E118" s="502" t="s">
        <v>69</v>
      </c>
      <c r="F118" s="413">
        <f>393000-23577</f>
        <v>369423</v>
      </c>
      <c r="G118" s="378">
        <f>213000-23577</f>
        <v>189423</v>
      </c>
      <c r="H118" s="392"/>
      <c r="I118" s="392"/>
      <c r="J118" s="392"/>
      <c r="K118" s="459"/>
      <c r="L118" s="453">
        <f>G118+H118+I118+J118+K118</f>
        <v>189423</v>
      </c>
      <c r="M118" s="143"/>
      <c r="N118" s="176" t="s">
        <v>78</v>
      </c>
      <c r="O118" s="440">
        <f>F118-(G118+H118+I118+J118+K118+P118+Q118+R118+S118+T118)</f>
        <v>0</v>
      </c>
      <c r="P118" s="369">
        <f>P120+P121</f>
        <v>180000</v>
      </c>
      <c r="Q118" s="369">
        <f>Q120+Q121</f>
        <v>0</v>
      </c>
      <c r="R118" s="369">
        <f>R120+R121</f>
        <v>0</v>
      </c>
      <c r="S118" s="369">
        <f>S120+S121</f>
        <v>0</v>
      </c>
      <c r="T118" s="370">
        <f>T120+T121</f>
        <v>0</v>
      </c>
      <c r="U118" s="368">
        <f>SUM(P118:T118)</f>
        <v>180000</v>
      </c>
      <c r="V118" s="464" t="s">
        <v>68</v>
      </c>
      <c r="X118" s="573">
        <f>X120+X121</f>
        <v>0</v>
      </c>
      <c r="Y118" s="573">
        <f>Y120+Y121</f>
        <v>0</v>
      </c>
      <c r="Z118" s="573">
        <f>Z120+Z121</f>
        <v>0</v>
      </c>
      <c r="AA118" s="573">
        <v>190000</v>
      </c>
    </row>
    <row r="119" spans="1:27" s="107" customFormat="1" ht="27" customHeight="1">
      <c r="A119" s="398"/>
      <c r="B119" s="129" t="s">
        <v>67</v>
      </c>
      <c r="C119" s="373"/>
      <c r="D119" s="535"/>
      <c r="E119" s="503"/>
      <c r="F119" s="414"/>
      <c r="G119" s="438"/>
      <c r="H119" s="394"/>
      <c r="I119" s="394"/>
      <c r="J119" s="394"/>
      <c r="K119" s="461"/>
      <c r="L119" s="463"/>
      <c r="M119" s="215"/>
      <c r="N119" s="175"/>
      <c r="O119" s="549"/>
      <c r="P119" s="373"/>
      <c r="Q119" s="373"/>
      <c r="R119" s="373"/>
      <c r="S119" s="373"/>
      <c r="T119" s="575"/>
      <c r="U119" s="374"/>
      <c r="V119" s="465"/>
      <c r="X119" s="574"/>
      <c r="Y119" s="574"/>
      <c r="Z119" s="574"/>
      <c r="AA119" s="574"/>
    </row>
    <row r="120" spans="1:27" s="107" customFormat="1" ht="18.75" customHeight="1">
      <c r="A120" s="512"/>
      <c r="B120" s="128" t="s">
        <v>24</v>
      </c>
      <c r="C120" s="525"/>
      <c r="D120" s="527"/>
      <c r="E120" s="504"/>
      <c r="F120" s="127"/>
      <c r="G120" s="126"/>
      <c r="H120" s="84"/>
      <c r="I120" s="84"/>
      <c r="J120" s="84"/>
      <c r="K120" s="125"/>
      <c r="L120" s="124">
        <f aca="true" t="shared" si="20" ref="L120:L137">G120+H120+I120+J120+K120</f>
        <v>0</v>
      </c>
      <c r="M120" s="143"/>
      <c r="N120" s="156" t="s">
        <v>66</v>
      </c>
      <c r="O120" s="123">
        <f aca="true" t="shared" si="21" ref="O120:O137">F120-(G120+H120+I120+J120+K120+P120+Q120+R120+S120+T120)</f>
        <v>0</v>
      </c>
      <c r="P120" s="122"/>
      <c r="Q120" s="121"/>
      <c r="R120" s="121"/>
      <c r="S120" s="121"/>
      <c r="T120" s="137"/>
      <c r="U120" s="119">
        <f aca="true" t="shared" si="22" ref="U120:U137">SUM(P120:T120)</f>
        <v>0</v>
      </c>
      <c r="V120" s="465"/>
      <c r="X120" s="574"/>
      <c r="Y120" s="574"/>
      <c r="Z120" s="574"/>
      <c r="AA120" s="574"/>
    </row>
    <row r="121" spans="1:27" s="107" customFormat="1" ht="39.75" customHeight="1" thickBot="1">
      <c r="A121" s="513"/>
      <c r="B121" s="118" t="s">
        <v>65</v>
      </c>
      <c r="C121" s="526"/>
      <c r="D121" s="528"/>
      <c r="E121" s="505"/>
      <c r="F121" s="117">
        <f>393000-23577</f>
        <v>369423</v>
      </c>
      <c r="G121" s="116">
        <f>213000-23577</f>
        <v>189423</v>
      </c>
      <c r="H121" s="63"/>
      <c r="I121" s="63"/>
      <c r="J121" s="63"/>
      <c r="K121" s="115"/>
      <c r="L121" s="114">
        <f t="shared" si="20"/>
        <v>189423</v>
      </c>
      <c r="M121" s="143"/>
      <c r="N121" s="153"/>
      <c r="O121" s="113">
        <f t="shared" si="21"/>
        <v>0</v>
      </c>
      <c r="P121" s="112">
        <v>180000</v>
      </c>
      <c r="Q121" s="111"/>
      <c r="R121" s="111"/>
      <c r="S121" s="111"/>
      <c r="T121" s="132"/>
      <c r="U121" s="109">
        <f t="shared" si="22"/>
        <v>180000</v>
      </c>
      <c r="V121" s="466"/>
      <c r="X121" s="358"/>
      <c r="Y121" s="358"/>
      <c r="Z121" s="358"/>
      <c r="AA121" s="358"/>
    </row>
    <row r="122" spans="1:27" s="107" customFormat="1" ht="42.75" customHeight="1">
      <c r="A122" s="397">
        <v>23</v>
      </c>
      <c r="B122" s="158" t="s">
        <v>64</v>
      </c>
      <c r="C122" s="514" t="s">
        <v>44</v>
      </c>
      <c r="D122" s="517" t="s">
        <v>5</v>
      </c>
      <c r="E122" s="502" t="s">
        <v>63</v>
      </c>
      <c r="F122" s="169">
        <f>585564</f>
        <v>585564</v>
      </c>
      <c r="G122" s="168">
        <f>278964</f>
        <v>278964</v>
      </c>
      <c r="H122" s="167"/>
      <c r="I122" s="167"/>
      <c r="J122" s="167"/>
      <c r="K122" s="166"/>
      <c r="L122" s="165">
        <f t="shared" si="20"/>
        <v>278964</v>
      </c>
      <c r="M122" s="143"/>
      <c r="N122" s="164"/>
      <c r="O122" s="163">
        <f t="shared" si="21"/>
        <v>0</v>
      </c>
      <c r="P122" s="162">
        <f>306600</f>
        <v>306600</v>
      </c>
      <c r="Q122" s="162">
        <f>Q123+Q124</f>
        <v>0</v>
      </c>
      <c r="R122" s="162">
        <f>R123+R124</f>
        <v>0</v>
      </c>
      <c r="S122" s="162">
        <f>S123+S124</f>
        <v>0</v>
      </c>
      <c r="T122" s="171">
        <f>T123+T124</f>
        <v>0</v>
      </c>
      <c r="U122" s="170">
        <f t="shared" si="22"/>
        <v>306600</v>
      </c>
      <c r="V122" s="467"/>
      <c r="W122" s="108"/>
      <c r="X122" s="573">
        <f>X123+X124</f>
        <v>0</v>
      </c>
      <c r="Y122" s="573">
        <f>Y123+Y124</f>
        <v>0</v>
      </c>
      <c r="Z122" s="573">
        <f>Z123+Z124</f>
        <v>0</v>
      </c>
      <c r="AA122" s="573">
        <f>AA123+AA124</f>
        <v>0</v>
      </c>
    </row>
    <row r="123" spans="1:27" s="107" customFormat="1" ht="18.75" customHeight="1">
      <c r="A123" s="512"/>
      <c r="B123" s="128" t="s">
        <v>24</v>
      </c>
      <c r="C123" s="525"/>
      <c r="D123" s="527"/>
      <c r="E123" s="504"/>
      <c r="F123" s="127">
        <f>585564</f>
        <v>585564</v>
      </c>
      <c r="G123" s="126">
        <f>278964</f>
        <v>278964</v>
      </c>
      <c r="H123" s="84"/>
      <c r="I123" s="84"/>
      <c r="J123" s="84"/>
      <c r="K123" s="125"/>
      <c r="L123" s="124">
        <f t="shared" si="20"/>
        <v>278964</v>
      </c>
      <c r="M123" s="143"/>
      <c r="N123" s="160" t="s">
        <v>52</v>
      </c>
      <c r="O123" s="122">
        <f t="shared" si="21"/>
        <v>0</v>
      </c>
      <c r="P123" s="122">
        <f>306600</f>
        <v>306600</v>
      </c>
      <c r="Q123" s="121"/>
      <c r="R123" s="121"/>
      <c r="S123" s="121"/>
      <c r="T123" s="137"/>
      <c r="U123" s="119">
        <f t="shared" si="22"/>
        <v>306600</v>
      </c>
      <c r="V123" s="366"/>
      <c r="W123" s="108"/>
      <c r="X123" s="574"/>
      <c r="Y123" s="574"/>
      <c r="Z123" s="574"/>
      <c r="AA123" s="574"/>
    </row>
    <row r="124" spans="1:27" s="107" customFormat="1" ht="18.75" customHeight="1" thickBot="1">
      <c r="A124" s="513"/>
      <c r="B124" s="118" t="s">
        <v>40</v>
      </c>
      <c r="C124" s="526"/>
      <c r="D124" s="528"/>
      <c r="E124" s="505"/>
      <c r="F124" s="117"/>
      <c r="G124" s="116"/>
      <c r="H124" s="63"/>
      <c r="I124" s="63"/>
      <c r="J124" s="63"/>
      <c r="K124" s="115"/>
      <c r="L124" s="114">
        <f t="shared" si="20"/>
        <v>0</v>
      </c>
      <c r="M124" s="143"/>
      <c r="N124" s="159"/>
      <c r="O124" s="112">
        <f t="shared" si="21"/>
        <v>0</v>
      </c>
      <c r="P124" s="112"/>
      <c r="Q124" s="111"/>
      <c r="R124" s="111"/>
      <c r="S124" s="111"/>
      <c r="T124" s="132"/>
      <c r="U124" s="109">
        <f t="shared" si="22"/>
        <v>0</v>
      </c>
      <c r="V124" s="552"/>
      <c r="W124" s="108"/>
      <c r="X124" s="358"/>
      <c r="Y124" s="358"/>
      <c r="Z124" s="358"/>
      <c r="AA124" s="358"/>
    </row>
    <row r="125" spans="1:27" s="172" customFormat="1" ht="40.5" customHeight="1">
      <c r="A125" s="397">
        <v>24</v>
      </c>
      <c r="B125" s="158" t="s">
        <v>62</v>
      </c>
      <c r="C125" s="514" t="s">
        <v>61</v>
      </c>
      <c r="D125" s="517" t="s">
        <v>5</v>
      </c>
      <c r="E125" s="502" t="s">
        <v>58</v>
      </c>
      <c r="F125" s="169">
        <f>861800</f>
        <v>861800</v>
      </c>
      <c r="G125" s="168"/>
      <c r="H125" s="167">
        <f>471600</f>
        <v>471600</v>
      </c>
      <c r="I125" s="167">
        <f>290200</f>
        <v>290200</v>
      </c>
      <c r="J125" s="167">
        <f>100000</f>
        <v>100000</v>
      </c>
      <c r="K125" s="166"/>
      <c r="L125" s="165">
        <f t="shared" si="20"/>
        <v>861800</v>
      </c>
      <c r="M125" s="143"/>
      <c r="N125" s="160"/>
      <c r="O125" s="174">
        <f t="shared" si="21"/>
        <v>0</v>
      </c>
      <c r="P125" s="162">
        <f>P126+P127</f>
        <v>0</v>
      </c>
      <c r="Q125" s="162">
        <f>Q126+Q127</f>
        <v>0</v>
      </c>
      <c r="R125" s="162">
        <f>R126+R127</f>
        <v>0</v>
      </c>
      <c r="S125" s="162">
        <f>S126+S127</f>
        <v>0</v>
      </c>
      <c r="T125" s="171">
        <f>T126+T127</f>
        <v>0</v>
      </c>
      <c r="U125" s="119">
        <f t="shared" si="22"/>
        <v>0</v>
      </c>
      <c r="V125" s="467"/>
      <c r="W125" s="108"/>
      <c r="X125" s="573">
        <f>X126+X127</f>
        <v>0</v>
      </c>
      <c r="Y125" s="573">
        <f>Y126+Y127</f>
        <v>0</v>
      </c>
      <c r="Z125" s="573">
        <f>Z126+Z127</f>
        <v>0</v>
      </c>
      <c r="AA125" s="573">
        <f>AA126+AA127</f>
        <v>0</v>
      </c>
    </row>
    <row r="126" spans="1:27" s="172" customFormat="1" ht="18.75" customHeight="1">
      <c r="A126" s="512"/>
      <c r="B126" s="128" t="s">
        <v>24</v>
      </c>
      <c r="C126" s="525"/>
      <c r="D126" s="527"/>
      <c r="E126" s="504"/>
      <c r="F126" s="127">
        <f>861800</f>
        <v>861800</v>
      </c>
      <c r="G126" s="126"/>
      <c r="H126" s="84">
        <f>471600</f>
        <v>471600</v>
      </c>
      <c r="I126" s="84">
        <f>290200</f>
        <v>290200</v>
      </c>
      <c r="J126" s="84">
        <f>100000</f>
        <v>100000</v>
      </c>
      <c r="K126" s="125"/>
      <c r="L126" s="124">
        <f t="shared" si="20"/>
        <v>861800</v>
      </c>
      <c r="M126" s="143"/>
      <c r="N126" s="160" t="s">
        <v>52</v>
      </c>
      <c r="O126" s="123">
        <f t="shared" si="21"/>
        <v>0</v>
      </c>
      <c r="P126" s="122"/>
      <c r="Q126" s="121"/>
      <c r="R126" s="121"/>
      <c r="S126" s="121"/>
      <c r="T126" s="137"/>
      <c r="U126" s="119">
        <f t="shared" si="22"/>
        <v>0</v>
      </c>
      <c r="V126" s="366"/>
      <c r="W126" s="108"/>
      <c r="X126" s="574"/>
      <c r="Y126" s="574"/>
      <c r="Z126" s="574"/>
      <c r="AA126" s="574"/>
    </row>
    <row r="127" spans="1:27" s="172" customFormat="1" ht="18.75" customHeight="1" thickBot="1">
      <c r="A127" s="513"/>
      <c r="B127" s="118" t="s">
        <v>40</v>
      </c>
      <c r="C127" s="526"/>
      <c r="D127" s="528"/>
      <c r="E127" s="505"/>
      <c r="F127" s="117"/>
      <c r="G127" s="116"/>
      <c r="H127" s="63"/>
      <c r="I127" s="63"/>
      <c r="J127" s="63"/>
      <c r="K127" s="115"/>
      <c r="L127" s="114">
        <f t="shared" si="20"/>
        <v>0</v>
      </c>
      <c r="M127" s="143"/>
      <c r="N127" s="173"/>
      <c r="O127" s="113">
        <f t="shared" si="21"/>
        <v>0</v>
      </c>
      <c r="P127" s="112"/>
      <c r="Q127" s="111"/>
      <c r="R127" s="111"/>
      <c r="S127" s="111"/>
      <c r="T127" s="132"/>
      <c r="U127" s="119">
        <f t="shared" si="22"/>
        <v>0</v>
      </c>
      <c r="V127" s="552"/>
      <c r="W127" s="108"/>
      <c r="X127" s="358"/>
      <c r="Y127" s="358"/>
      <c r="Z127" s="358"/>
      <c r="AA127" s="358"/>
    </row>
    <row r="128" spans="1:27" s="107" customFormat="1" ht="63" customHeight="1">
      <c r="A128" s="397">
        <v>25</v>
      </c>
      <c r="B128" s="158" t="s">
        <v>60</v>
      </c>
      <c r="C128" s="514" t="s">
        <v>59</v>
      </c>
      <c r="D128" s="517" t="s">
        <v>5</v>
      </c>
      <c r="E128" s="502" t="s">
        <v>58</v>
      </c>
      <c r="F128" s="169">
        <f>599300</f>
        <v>599300</v>
      </c>
      <c r="G128" s="168"/>
      <c r="H128" s="167">
        <f>117100</f>
        <v>117100</v>
      </c>
      <c r="I128" s="167">
        <f>226700</f>
        <v>226700</v>
      </c>
      <c r="J128" s="167">
        <f>127400</f>
        <v>127400</v>
      </c>
      <c r="K128" s="166">
        <f>128100</f>
        <v>128100</v>
      </c>
      <c r="L128" s="165">
        <f t="shared" si="20"/>
        <v>599300</v>
      </c>
      <c r="M128" s="143"/>
      <c r="N128" s="164"/>
      <c r="O128" s="163">
        <f t="shared" si="21"/>
        <v>0</v>
      </c>
      <c r="P128" s="162">
        <f>P129+P130</f>
        <v>0</v>
      </c>
      <c r="Q128" s="162">
        <f>Q129+Q130</f>
        <v>0</v>
      </c>
      <c r="R128" s="162">
        <f>R129+R130</f>
        <v>0</v>
      </c>
      <c r="S128" s="162">
        <f>S129+S130</f>
        <v>0</v>
      </c>
      <c r="T128" s="171">
        <f>T129+T130</f>
        <v>0</v>
      </c>
      <c r="U128" s="170">
        <f t="shared" si="22"/>
        <v>0</v>
      </c>
      <c r="V128" s="675"/>
      <c r="X128" s="573">
        <f>X129+X130</f>
        <v>0</v>
      </c>
      <c r="Y128" s="573">
        <f>Y129+Y130</f>
        <v>0</v>
      </c>
      <c r="Z128" s="573">
        <f>Z129+Z130</f>
        <v>0</v>
      </c>
      <c r="AA128" s="573">
        <f>AA129+AA130</f>
        <v>0</v>
      </c>
    </row>
    <row r="129" spans="1:27" s="107" customFormat="1" ht="18.75" customHeight="1">
      <c r="A129" s="512"/>
      <c r="B129" s="128" t="s">
        <v>24</v>
      </c>
      <c r="C129" s="515"/>
      <c r="D129" s="518"/>
      <c r="E129" s="520"/>
      <c r="F129" s="127">
        <f>599300</f>
        <v>599300</v>
      </c>
      <c r="G129" s="126"/>
      <c r="H129" s="84">
        <f>117100</f>
        <v>117100</v>
      </c>
      <c r="I129" s="84">
        <f>226700</f>
        <v>226700</v>
      </c>
      <c r="J129" s="84">
        <f>127400</f>
        <v>127400</v>
      </c>
      <c r="K129" s="125">
        <f>128100</f>
        <v>128100</v>
      </c>
      <c r="L129" s="124">
        <f t="shared" si="20"/>
        <v>599300</v>
      </c>
      <c r="M129" s="143"/>
      <c r="N129" s="160" t="s">
        <v>52</v>
      </c>
      <c r="O129" s="122">
        <f t="shared" si="21"/>
        <v>0</v>
      </c>
      <c r="P129" s="122"/>
      <c r="Q129" s="121"/>
      <c r="R129" s="121"/>
      <c r="S129" s="121"/>
      <c r="T129" s="137"/>
      <c r="U129" s="119">
        <f t="shared" si="22"/>
        <v>0</v>
      </c>
      <c r="V129" s="676"/>
      <c r="X129" s="574"/>
      <c r="Y129" s="574"/>
      <c r="Z129" s="574"/>
      <c r="AA129" s="574"/>
    </row>
    <row r="130" spans="1:27" s="107" customFormat="1" ht="18.75" customHeight="1" thickBot="1">
      <c r="A130" s="513"/>
      <c r="B130" s="118" t="s">
        <v>40</v>
      </c>
      <c r="C130" s="516"/>
      <c r="D130" s="519"/>
      <c r="E130" s="521"/>
      <c r="F130" s="117"/>
      <c r="G130" s="116"/>
      <c r="H130" s="63"/>
      <c r="I130" s="63"/>
      <c r="J130" s="63"/>
      <c r="K130" s="115"/>
      <c r="L130" s="114">
        <f t="shared" si="20"/>
        <v>0</v>
      </c>
      <c r="M130" s="143"/>
      <c r="N130" s="159"/>
      <c r="O130" s="112">
        <f t="shared" si="21"/>
        <v>0</v>
      </c>
      <c r="P130" s="112"/>
      <c r="Q130" s="111"/>
      <c r="R130" s="111"/>
      <c r="S130" s="111"/>
      <c r="T130" s="132"/>
      <c r="U130" s="119">
        <f t="shared" si="22"/>
        <v>0</v>
      </c>
      <c r="V130" s="677"/>
      <c r="X130" s="358"/>
      <c r="Y130" s="358"/>
      <c r="Z130" s="358"/>
      <c r="AA130" s="358"/>
    </row>
    <row r="131" spans="1:27" s="107" customFormat="1" ht="39.75" customHeight="1">
      <c r="A131" s="397">
        <v>26</v>
      </c>
      <c r="B131" s="158" t="s">
        <v>57</v>
      </c>
      <c r="C131" s="514" t="s">
        <v>56</v>
      </c>
      <c r="D131" s="517" t="s">
        <v>5</v>
      </c>
      <c r="E131" s="502" t="s">
        <v>53</v>
      </c>
      <c r="F131" s="169">
        <f>1032500</f>
        <v>1032500</v>
      </c>
      <c r="G131" s="168"/>
      <c r="H131" s="167"/>
      <c r="I131" s="167"/>
      <c r="J131" s="167">
        <v>443500</v>
      </c>
      <c r="K131" s="166">
        <v>589000</v>
      </c>
      <c r="L131" s="165">
        <f t="shared" si="20"/>
        <v>1032500</v>
      </c>
      <c r="M131" s="143"/>
      <c r="N131" s="164"/>
      <c r="O131" s="163">
        <f t="shared" si="21"/>
        <v>0</v>
      </c>
      <c r="P131" s="162">
        <f>P132+P133</f>
        <v>0</v>
      </c>
      <c r="Q131" s="162">
        <f>Q132+Q133</f>
        <v>0</v>
      </c>
      <c r="R131" s="162">
        <f>R132+R133</f>
        <v>0</v>
      </c>
      <c r="S131" s="162">
        <f>S132+S133</f>
        <v>0</v>
      </c>
      <c r="T131" s="161">
        <f>T132+T133</f>
        <v>0</v>
      </c>
      <c r="U131" s="170">
        <f t="shared" si="22"/>
        <v>0</v>
      </c>
      <c r="V131" s="672"/>
      <c r="X131" s="573">
        <f>X132+X133</f>
        <v>0</v>
      </c>
      <c r="Y131" s="573">
        <f>Y132+Y133</f>
        <v>0</v>
      </c>
      <c r="Z131" s="573">
        <f>Z132+Z133</f>
        <v>0</v>
      </c>
      <c r="AA131" s="573">
        <f>AA132+AA133</f>
        <v>0</v>
      </c>
    </row>
    <row r="132" spans="1:27" s="107" customFormat="1" ht="18.75" customHeight="1">
      <c r="A132" s="398"/>
      <c r="B132" s="128" t="s">
        <v>24</v>
      </c>
      <c r="C132" s="523"/>
      <c r="D132" s="531"/>
      <c r="E132" s="529"/>
      <c r="F132" s="127">
        <f>1032500</f>
        <v>1032500</v>
      </c>
      <c r="G132" s="126"/>
      <c r="H132" s="84"/>
      <c r="I132" s="84"/>
      <c r="J132" s="84">
        <v>443500</v>
      </c>
      <c r="K132" s="125">
        <v>589000</v>
      </c>
      <c r="L132" s="124">
        <f t="shared" si="20"/>
        <v>1032500</v>
      </c>
      <c r="M132" s="143"/>
      <c r="N132" s="160" t="s">
        <v>52</v>
      </c>
      <c r="O132" s="122">
        <f t="shared" si="21"/>
        <v>0</v>
      </c>
      <c r="P132" s="122"/>
      <c r="Q132" s="121"/>
      <c r="R132" s="121"/>
      <c r="S132" s="121"/>
      <c r="T132" s="137"/>
      <c r="U132" s="119">
        <f t="shared" si="22"/>
        <v>0</v>
      </c>
      <c r="V132" s="673"/>
      <c r="X132" s="574"/>
      <c r="Y132" s="574"/>
      <c r="Z132" s="574"/>
      <c r="AA132" s="574"/>
    </row>
    <row r="133" spans="1:27" s="107" customFormat="1" ht="18.75" customHeight="1" thickBot="1">
      <c r="A133" s="398"/>
      <c r="B133" s="118" t="s">
        <v>40</v>
      </c>
      <c r="C133" s="530"/>
      <c r="D133" s="532"/>
      <c r="E133" s="533"/>
      <c r="F133" s="117"/>
      <c r="G133" s="116"/>
      <c r="H133" s="63"/>
      <c r="I133" s="63"/>
      <c r="J133" s="63"/>
      <c r="K133" s="115"/>
      <c r="L133" s="114">
        <f t="shared" si="20"/>
        <v>0</v>
      </c>
      <c r="M133" s="143"/>
      <c r="N133" s="159"/>
      <c r="O133" s="112">
        <f t="shared" si="21"/>
        <v>0</v>
      </c>
      <c r="P133" s="112"/>
      <c r="Q133" s="111"/>
      <c r="R133" s="111"/>
      <c r="S133" s="111"/>
      <c r="T133" s="132"/>
      <c r="U133" s="109">
        <f t="shared" si="22"/>
        <v>0</v>
      </c>
      <c r="V133" s="674"/>
      <c r="X133" s="358"/>
      <c r="Y133" s="358"/>
      <c r="Z133" s="358"/>
      <c r="AA133" s="358"/>
    </row>
    <row r="134" spans="1:27" s="107" customFormat="1" ht="36.75" customHeight="1">
      <c r="A134" s="397">
        <v>27</v>
      </c>
      <c r="B134" s="158" t="s">
        <v>55</v>
      </c>
      <c r="C134" s="514" t="s">
        <v>54</v>
      </c>
      <c r="D134" s="517" t="s">
        <v>5</v>
      </c>
      <c r="E134" s="502" t="s">
        <v>53</v>
      </c>
      <c r="F134" s="169">
        <v>275000</v>
      </c>
      <c r="G134" s="168">
        <f>180000</f>
        <v>180000</v>
      </c>
      <c r="H134" s="167">
        <v>95000</v>
      </c>
      <c r="I134" s="167"/>
      <c r="J134" s="167"/>
      <c r="K134" s="166"/>
      <c r="L134" s="165">
        <f t="shared" si="20"/>
        <v>275000</v>
      </c>
      <c r="M134" s="143"/>
      <c r="N134" s="164"/>
      <c r="O134" s="163">
        <f t="shared" si="21"/>
        <v>0</v>
      </c>
      <c r="P134" s="162">
        <f>P135+P136</f>
        <v>0</v>
      </c>
      <c r="Q134" s="162">
        <f>Q135+Q136</f>
        <v>0</v>
      </c>
      <c r="R134" s="162">
        <f>R135+R136</f>
        <v>0</v>
      </c>
      <c r="S134" s="162">
        <f>S135+S136</f>
        <v>0</v>
      </c>
      <c r="T134" s="161">
        <f>T135+T136</f>
        <v>0</v>
      </c>
      <c r="U134" s="170">
        <f t="shared" si="22"/>
        <v>0</v>
      </c>
      <c r="V134" s="672"/>
      <c r="X134" s="573">
        <f>X135+X136</f>
        <v>0</v>
      </c>
      <c r="Y134" s="573">
        <f>Y135+Y136</f>
        <v>0</v>
      </c>
      <c r="Z134" s="573">
        <f>Z135+Z136</f>
        <v>0</v>
      </c>
      <c r="AA134" s="573">
        <f>AA135+AA136</f>
        <v>0</v>
      </c>
    </row>
    <row r="135" spans="1:27" s="107" customFormat="1" ht="18.75" customHeight="1">
      <c r="A135" s="398"/>
      <c r="B135" s="128" t="s">
        <v>24</v>
      </c>
      <c r="C135" s="523"/>
      <c r="D135" s="531"/>
      <c r="E135" s="529"/>
      <c r="F135" s="127">
        <v>275000</v>
      </c>
      <c r="G135" s="126">
        <f>180000</f>
        <v>180000</v>
      </c>
      <c r="H135" s="84">
        <v>95000</v>
      </c>
      <c r="I135" s="84"/>
      <c r="J135" s="84"/>
      <c r="K135" s="125"/>
      <c r="L135" s="124">
        <f t="shared" si="20"/>
        <v>275000</v>
      </c>
      <c r="M135" s="143"/>
      <c r="N135" s="160" t="s">
        <v>52</v>
      </c>
      <c r="O135" s="122">
        <f t="shared" si="21"/>
        <v>0</v>
      </c>
      <c r="P135" s="122"/>
      <c r="Q135" s="121"/>
      <c r="R135" s="121"/>
      <c r="S135" s="121"/>
      <c r="T135" s="137"/>
      <c r="U135" s="119">
        <f t="shared" si="22"/>
        <v>0</v>
      </c>
      <c r="V135" s="673"/>
      <c r="X135" s="574"/>
      <c r="Y135" s="574"/>
      <c r="Z135" s="574"/>
      <c r="AA135" s="574"/>
    </row>
    <row r="136" spans="1:27" s="107" customFormat="1" ht="18.75" customHeight="1" thickBot="1">
      <c r="A136" s="398"/>
      <c r="B136" s="155" t="s">
        <v>40</v>
      </c>
      <c r="C136" s="524"/>
      <c r="D136" s="534"/>
      <c r="E136" s="529"/>
      <c r="F136" s="136"/>
      <c r="G136" s="154"/>
      <c r="H136" s="74"/>
      <c r="I136" s="74"/>
      <c r="J136" s="74"/>
      <c r="K136" s="134"/>
      <c r="L136" s="133">
        <f t="shared" si="20"/>
        <v>0</v>
      </c>
      <c r="M136" s="143"/>
      <c r="N136" s="159"/>
      <c r="O136" s="112">
        <f t="shared" si="21"/>
        <v>0</v>
      </c>
      <c r="P136" s="112"/>
      <c r="Q136" s="111"/>
      <c r="R136" s="111"/>
      <c r="S136" s="111"/>
      <c r="T136" s="132"/>
      <c r="U136" s="109">
        <f t="shared" si="22"/>
        <v>0</v>
      </c>
      <c r="V136" s="674"/>
      <c r="X136" s="358"/>
      <c r="Y136" s="358"/>
      <c r="Z136" s="358"/>
      <c r="AA136" s="358"/>
    </row>
    <row r="137" spans="1:27" s="107" customFormat="1" ht="39.75" customHeight="1">
      <c r="A137" s="397">
        <v>28</v>
      </c>
      <c r="B137" s="355" t="s">
        <v>51</v>
      </c>
      <c r="C137" s="492" t="s">
        <v>50</v>
      </c>
      <c r="D137" s="522" t="s">
        <v>4</v>
      </c>
      <c r="E137" s="510" t="s">
        <v>49</v>
      </c>
      <c r="F137" s="487">
        <f>880000</f>
        <v>880000</v>
      </c>
      <c r="G137" s="469">
        <f>110000</f>
        <v>110000</v>
      </c>
      <c r="H137" s="469"/>
      <c r="I137" s="469">
        <v>770000</v>
      </c>
      <c r="J137" s="469"/>
      <c r="K137" s="469"/>
      <c r="L137" s="471">
        <f t="shared" si="20"/>
        <v>880000</v>
      </c>
      <c r="M137" s="143"/>
      <c r="N137" s="156" t="s">
        <v>48</v>
      </c>
      <c r="O137" s="440">
        <f t="shared" si="21"/>
        <v>0</v>
      </c>
      <c r="P137" s="369">
        <v>0</v>
      </c>
      <c r="Q137" s="369">
        <f>Q139+Q140</f>
        <v>0</v>
      </c>
      <c r="R137" s="369">
        <f>R139+R140</f>
        <v>0</v>
      </c>
      <c r="S137" s="369">
        <f>S139+S140</f>
        <v>0</v>
      </c>
      <c r="T137" s="370">
        <f>T139+T140</f>
        <v>0</v>
      </c>
      <c r="U137" s="368">
        <f t="shared" si="22"/>
        <v>0</v>
      </c>
      <c r="V137" s="151" t="s">
        <v>47</v>
      </c>
      <c r="W137" s="108"/>
      <c r="X137" s="670">
        <v>0</v>
      </c>
      <c r="Y137" s="670">
        <v>0</v>
      </c>
      <c r="Z137" s="670">
        <v>0</v>
      </c>
      <c r="AA137" s="670">
        <v>0</v>
      </c>
    </row>
    <row r="138" spans="1:27" s="107" customFormat="1" ht="39.75" customHeight="1">
      <c r="A138" s="398"/>
      <c r="B138" s="355" t="s">
        <v>31</v>
      </c>
      <c r="C138" s="492"/>
      <c r="D138" s="522"/>
      <c r="E138" s="510"/>
      <c r="F138" s="488"/>
      <c r="G138" s="470"/>
      <c r="H138" s="470"/>
      <c r="I138" s="470"/>
      <c r="J138" s="470"/>
      <c r="K138" s="470"/>
      <c r="L138" s="472"/>
      <c r="M138" s="215"/>
      <c r="N138" s="156" t="s">
        <v>46</v>
      </c>
      <c r="O138" s="549"/>
      <c r="P138" s="373"/>
      <c r="Q138" s="373"/>
      <c r="R138" s="373"/>
      <c r="S138" s="373"/>
      <c r="T138" s="575"/>
      <c r="U138" s="374"/>
      <c r="V138" s="151"/>
      <c r="W138" s="108"/>
      <c r="X138" s="671"/>
      <c r="Y138" s="671"/>
      <c r="Z138" s="671"/>
      <c r="AA138" s="671"/>
    </row>
    <row r="139" spans="1:27" s="107" customFormat="1" ht="18.75" customHeight="1">
      <c r="A139" s="398"/>
      <c r="B139" s="150" t="s">
        <v>24</v>
      </c>
      <c r="C139" s="419"/>
      <c r="D139" s="381"/>
      <c r="E139" s="511"/>
      <c r="F139" s="347"/>
      <c r="G139" s="346"/>
      <c r="H139" s="346"/>
      <c r="I139" s="346"/>
      <c r="J139" s="346"/>
      <c r="K139" s="346"/>
      <c r="L139" s="356">
        <f>G139+H139+I139+J139+K139</f>
        <v>0</v>
      </c>
      <c r="M139" s="143"/>
      <c r="N139" s="153"/>
      <c r="O139" s="123">
        <f>F139-(G139+H139+I139+J139+K139+P139+Q139+R139+S139+T139)</f>
        <v>0</v>
      </c>
      <c r="P139" s="122"/>
      <c r="Q139" s="121"/>
      <c r="R139" s="121"/>
      <c r="S139" s="121"/>
      <c r="T139" s="137"/>
      <c r="U139" s="119">
        <f>SUM(P139:T139)</f>
        <v>0</v>
      </c>
      <c r="V139" s="151"/>
      <c r="W139" s="108"/>
      <c r="X139" s="671"/>
      <c r="Y139" s="671"/>
      <c r="Z139" s="671"/>
      <c r="AA139" s="671"/>
    </row>
    <row r="140" spans="1:27" s="107" customFormat="1" ht="18.75" customHeight="1" thickBot="1">
      <c r="A140" s="499"/>
      <c r="B140" s="150" t="s">
        <v>40</v>
      </c>
      <c r="C140" s="419"/>
      <c r="D140" s="381"/>
      <c r="E140" s="511"/>
      <c r="F140" s="347">
        <f>880000</f>
        <v>880000</v>
      </c>
      <c r="G140" s="346">
        <f>110000</f>
        <v>110000</v>
      </c>
      <c r="H140" s="346"/>
      <c r="I140" s="346">
        <v>770000</v>
      </c>
      <c r="J140" s="346"/>
      <c r="K140" s="346"/>
      <c r="L140" s="356">
        <f>G140+H140+I140+J140+K140</f>
        <v>880000</v>
      </c>
      <c r="M140" s="143"/>
      <c r="N140" s="153"/>
      <c r="O140" s="142">
        <f>F140-(G140+H140+I140+J140+K140+P140+Q140+R140+S140+T140)</f>
        <v>0</v>
      </c>
      <c r="P140" s="152">
        <v>0</v>
      </c>
      <c r="Q140" s="141"/>
      <c r="R140" s="141"/>
      <c r="S140" s="141"/>
      <c r="T140" s="140"/>
      <c r="U140" s="109">
        <f>SUM(P140:T140)</f>
        <v>0</v>
      </c>
      <c r="V140" s="151"/>
      <c r="W140" s="108"/>
      <c r="X140" s="548"/>
      <c r="Y140" s="548"/>
      <c r="Z140" s="548"/>
      <c r="AA140" s="548"/>
    </row>
    <row r="141" spans="1:27" s="107" customFormat="1" ht="33.75" customHeight="1">
      <c r="A141" s="397">
        <v>29</v>
      </c>
      <c r="B141" s="345" t="s">
        <v>45</v>
      </c>
      <c r="C141" s="418" t="s">
        <v>44</v>
      </c>
      <c r="D141" s="494" t="s">
        <v>3</v>
      </c>
      <c r="E141" s="496" t="s">
        <v>43</v>
      </c>
      <c r="F141" s="385">
        <f>518600-169221</f>
        <v>349379</v>
      </c>
      <c r="G141" s="430">
        <f>330560</f>
        <v>330560</v>
      </c>
      <c r="H141" s="395"/>
      <c r="I141" s="395"/>
      <c r="J141" s="395"/>
      <c r="K141" s="489"/>
      <c r="L141" s="457">
        <f>G141+H141+I141+J141+K141</f>
        <v>330560</v>
      </c>
      <c r="M141" s="143"/>
      <c r="N141" s="362" t="s">
        <v>42</v>
      </c>
      <c r="O141" s="440">
        <f>F141-(G141+H141+I141+J141+K141+P141+Q141+R141+S141+T141)</f>
        <v>0</v>
      </c>
      <c r="P141" s="369">
        <f>P143+P144</f>
        <v>18819</v>
      </c>
      <c r="Q141" s="369">
        <f>Q143+Q144</f>
        <v>0</v>
      </c>
      <c r="R141" s="369">
        <f>R143+R144</f>
        <v>0</v>
      </c>
      <c r="S141" s="369">
        <f>S143+S144</f>
        <v>0</v>
      </c>
      <c r="T141" s="370">
        <f>T143+T144</f>
        <v>0</v>
      </c>
      <c r="U141" s="368">
        <f>SUM(P141:T141)</f>
        <v>18819</v>
      </c>
      <c r="V141" s="362"/>
      <c r="X141" s="670">
        <v>0</v>
      </c>
      <c r="Y141" s="670">
        <v>0</v>
      </c>
      <c r="Z141" s="670">
        <v>0</v>
      </c>
      <c r="AA141" s="670">
        <v>0</v>
      </c>
    </row>
    <row r="142" spans="1:27" s="107" customFormat="1" ht="23.25" customHeight="1">
      <c r="A142" s="398"/>
      <c r="B142" s="150" t="s">
        <v>41</v>
      </c>
      <c r="C142" s="492"/>
      <c r="D142" s="494"/>
      <c r="E142" s="496"/>
      <c r="F142" s="414"/>
      <c r="G142" s="438"/>
      <c r="H142" s="462"/>
      <c r="I142" s="462"/>
      <c r="J142" s="462"/>
      <c r="K142" s="460"/>
      <c r="L142" s="454"/>
      <c r="M142" s="215"/>
      <c r="N142" s="363"/>
      <c r="O142" s="549"/>
      <c r="P142" s="373"/>
      <c r="Q142" s="373"/>
      <c r="R142" s="373"/>
      <c r="S142" s="373"/>
      <c r="T142" s="575"/>
      <c r="U142" s="374"/>
      <c r="V142" s="363"/>
      <c r="X142" s="671"/>
      <c r="Y142" s="671"/>
      <c r="Z142" s="671"/>
      <c r="AA142" s="671"/>
    </row>
    <row r="143" spans="1:27" s="107" customFormat="1" ht="18.75" customHeight="1">
      <c r="A143" s="398"/>
      <c r="B143" s="150" t="s">
        <v>24</v>
      </c>
      <c r="C143" s="492"/>
      <c r="D143" s="494"/>
      <c r="E143" s="497"/>
      <c r="F143" s="127"/>
      <c r="G143" s="126"/>
      <c r="H143" s="125"/>
      <c r="I143" s="84"/>
      <c r="J143" s="149"/>
      <c r="K143" s="125"/>
      <c r="L143" s="124">
        <f>G143+H143+I143+J143+K143</f>
        <v>0</v>
      </c>
      <c r="M143" s="143"/>
      <c r="N143" s="363"/>
      <c r="O143" s="123">
        <f>F143-(G143+H143+I143+J143+K143+P143+Q143+R143+S143+T143)</f>
        <v>0</v>
      </c>
      <c r="P143" s="121"/>
      <c r="Q143" s="121"/>
      <c r="R143" s="121"/>
      <c r="S143" s="121"/>
      <c r="T143" s="137"/>
      <c r="U143" s="119">
        <f>SUM(P143:T143)</f>
        <v>0</v>
      </c>
      <c r="V143" s="363"/>
      <c r="X143" s="671"/>
      <c r="Y143" s="671"/>
      <c r="Z143" s="671"/>
      <c r="AA143" s="671"/>
    </row>
    <row r="144" spans="1:27" s="107" customFormat="1" ht="18.75" customHeight="1" thickBot="1">
      <c r="A144" s="398"/>
      <c r="B144" s="148" t="s">
        <v>40</v>
      </c>
      <c r="C144" s="493"/>
      <c r="D144" s="495"/>
      <c r="E144" s="498"/>
      <c r="F144" s="147">
        <f>518600-169221</f>
        <v>349379</v>
      </c>
      <c r="G144" s="146">
        <f>330560</f>
        <v>330560</v>
      </c>
      <c r="H144" s="144"/>
      <c r="I144" s="63"/>
      <c r="J144" s="145"/>
      <c r="K144" s="144"/>
      <c r="L144" s="114">
        <f>G144+H144+I144+J144+K144</f>
        <v>330560</v>
      </c>
      <c r="M144" s="143"/>
      <c r="N144" s="364"/>
      <c r="O144" s="142">
        <f>F144-(G144+H144+I144+J144+K144+P144+Q144+R144+S144+T144)</f>
        <v>0</v>
      </c>
      <c r="P144" s="141">
        <v>18819</v>
      </c>
      <c r="Q144" s="141"/>
      <c r="R144" s="141"/>
      <c r="S144" s="141"/>
      <c r="T144" s="140"/>
      <c r="U144" s="109">
        <f>SUM(P144:T144)</f>
        <v>18819</v>
      </c>
      <c r="V144" s="364"/>
      <c r="X144" s="548"/>
      <c r="Y144" s="548"/>
      <c r="Z144" s="548"/>
      <c r="AA144" s="548"/>
    </row>
    <row r="145" spans="1:27" s="131" customFormat="1" ht="46.5" customHeight="1">
      <c r="A145" s="397">
        <v>30</v>
      </c>
      <c r="B145" s="129" t="s">
        <v>39</v>
      </c>
      <c r="C145" s="506" t="s">
        <v>38</v>
      </c>
      <c r="D145" s="494" t="s">
        <v>3</v>
      </c>
      <c r="E145" s="382" t="s">
        <v>33</v>
      </c>
      <c r="F145" s="413">
        <f>3490207-221059</f>
        <v>3269148</v>
      </c>
      <c r="G145" s="490">
        <f>2338785-221059</f>
        <v>2117726</v>
      </c>
      <c r="H145" s="392">
        <v>1072750</v>
      </c>
      <c r="I145" s="392"/>
      <c r="J145" s="392"/>
      <c r="K145" s="459"/>
      <c r="L145" s="453">
        <f>G145+H145+I145+J145+K145</f>
        <v>3190476</v>
      </c>
      <c r="M145" s="62"/>
      <c r="N145" s="467" t="s">
        <v>37</v>
      </c>
      <c r="O145" s="440">
        <f>F145-(G145+H145+I145+J145+K145+P145+Q145+R145+S145+T145)</f>
        <v>0</v>
      </c>
      <c r="P145" s="369">
        <f>P147+P148</f>
        <v>51672</v>
      </c>
      <c r="Q145" s="369">
        <f>Q147+Q148</f>
        <v>0</v>
      </c>
      <c r="R145" s="369">
        <f>R147+R148</f>
        <v>0</v>
      </c>
      <c r="S145" s="369">
        <f>S147+S148</f>
        <v>0</v>
      </c>
      <c r="T145" s="370">
        <f>T147+T148</f>
        <v>27000</v>
      </c>
      <c r="U145" s="368">
        <f>SUM(P145:T145)</f>
        <v>78672</v>
      </c>
      <c r="V145" s="467" t="s">
        <v>36</v>
      </c>
      <c r="W145" s="108"/>
      <c r="X145" s="573">
        <f>X147+X148</f>
        <v>0</v>
      </c>
      <c r="Y145" s="573">
        <f>Y147+Y148</f>
        <v>0</v>
      </c>
      <c r="Z145" s="573">
        <f>Z147+Z148</f>
        <v>0</v>
      </c>
      <c r="AA145" s="573">
        <v>514123</v>
      </c>
    </row>
    <row r="146" spans="1:27" s="131" customFormat="1" ht="39.75" customHeight="1">
      <c r="A146" s="398"/>
      <c r="B146" s="129" t="s">
        <v>31</v>
      </c>
      <c r="C146" s="506"/>
      <c r="D146" s="494"/>
      <c r="E146" s="382"/>
      <c r="F146" s="414"/>
      <c r="G146" s="491"/>
      <c r="H146" s="462"/>
      <c r="I146" s="462"/>
      <c r="J146" s="462"/>
      <c r="K146" s="460"/>
      <c r="L146" s="454"/>
      <c r="M146" s="215"/>
      <c r="N146" s="366"/>
      <c r="O146" s="549"/>
      <c r="P146" s="373"/>
      <c r="Q146" s="373"/>
      <c r="R146" s="373"/>
      <c r="S146" s="373"/>
      <c r="T146" s="575"/>
      <c r="U146" s="374"/>
      <c r="V146" s="366"/>
      <c r="W146" s="108"/>
      <c r="X146" s="574"/>
      <c r="Y146" s="574"/>
      <c r="Z146" s="574"/>
      <c r="AA146" s="574"/>
    </row>
    <row r="147" spans="1:27" s="131" customFormat="1" ht="18.75" customHeight="1">
      <c r="A147" s="398"/>
      <c r="B147" s="128" t="s">
        <v>24</v>
      </c>
      <c r="C147" s="507"/>
      <c r="D147" s="508"/>
      <c r="E147" s="509"/>
      <c r="F147" s="127"/>
      <c r="G147" s="139"/>
      <c r="H147" s="84"/>
      <c r="I147" s="84"/>
      <c r="J147" s="138"/>
      <c r="K147" s="125"/>
      <c r="L147" s="124">
        <f>G147+H147+I147+J147+K147</f>
        <v>0</v>
      </c>
      <c r="M147" s="62"/>
      <c r="N147" s="366"/>
      <c r="O147" s="123">
        <f>F147-(G147+H147+I147+J147+K147+P147+Q147+R147+S147+T147)</f>
        <v>0</v>
      </c>
      <c r="P147" s="121">
        <f>F147-(G147+H147+I147+J147+K147+L147+Q147+R147+S147+T147)</f>
        <v>0</v>
      </c>
      <c r="Q147" s="121"/>
      <c r="R147" s="121"/>
      <c r="S147" s="121"/>
      <c r="T147" s="137"/>
      <c r="U147" s="119">
        <f>SUM(P147:T147)</f>
        <v>0</v>
      </c>
      <c r="V147" s="366"/>
      <c r="W147" s="108"/>
      <c r="X147" s="574"/>
      <c r="Y147" s="574"/>
      <c r="Z147" s="574"/>
      <c r="AA147" s="574"/>
    </row>
    <row r="148" spans="1:27" s="131" customFormat="1" ht="18.75" customHeight="1" thickBot="1">
      <c r="A148" s="499"/>
      <c r="B148" s="155" t="s">
        <v>23</v>
      </c>
      <c r="C148" s="507"/>
      <c r="D148" s="508"/>
      <c r="E148" s="509"/>
      <c r="F148" s="136">
        <f>3490207-221059</f>
        <v>3269148</v>
      </c>
      <c r="G148" s="343">
        <f>2338785-221059</f>
        <v>2117726</v>
      </c>
      <c r="H148" s="74">
        <v>1072750</v>
      </c>
      <c r="I148" s="74"/>
      <c r="J148" s="135"/>
      <c r="K148" s="134"/>
      <c r="L148" s="133">
        <f>G148+H148+I148+J148+K148</f>
        <v>3190476</v>
      </c>
      <c r="M148" s="62"/>
      <c r="N148" s="552"/>
      <c r="O148" s="113">
        <f>F148-(G148+H148+I148+J148+K148+P148+Q148+R148+S148+T148)</f>
        <v>0</v>
      </c>
      <c r="P148" s="111">
        <v>51672</v>
      </c>
      <c r="Q148" s="111"/>
      <c r="R148" s="111"/>
      <c r="S148" s="111"/>
      <c r="T148" s="132">
        <v>27000</v>
      </c>
      <c r="U148" s="109">
        <f>SUM(P148:T148)</f>
        <v>78672</v>
      </c>
      <c r="V148" s="552"/>
      <c r="W148" s="108"/>
      <c r="X148" s="358"/>
      <c r="Y148" s="358"/>
      <c r="Z148" s="358"/>
      <c r="AA148" s="358"/>
    </row>
    <row r="149" spans="1:27" s="107" customFormat="1" ht="40.5" customHeight="1">
      <c r="A149" s="397">
        <v>31</v>
      </c>
      <c r="B149" s="130" t="s">
        <v>35</v>
      </c>
      <c r="C149" s="422" t="s">
        <v>34</v>
      </c>
      <c r="D149" s="424" t="s">
        <v>2</v>
      </c>
      <c r="E149" s="502" t="s">
        <v>33</v>
      </c>
      <c r="F149" s="413">
        <f>2102807</f>
        <v>2102807</v>
      </c>
      <c r="G149" s="378">
        <f>155807</f>
        <v>155807</v>
      </c>
      <c r="H149" s="459">
        <f>1947000</f>
        <v>1947000</v>
      </c>
      <c r="I149" s="392"/>
      <c r="J149" s="392"/>
      <c r="K149" s="459"/>
      <c r="L149" s="484">
        <f>G149+H149+I149+J149+K149</f>
        <v>2102807</v>
      </c>
      <c r="M149" s="62"/>
      <c r="N149" s="362" t="s">
        <v>196</v>
      </c>
      <c r="O149" s="440">
        <f>F149-(G149+H149+I149+J149+K149+P149+Q149+R149+S149+T149)</f>
        <v>0</v>
      </c>
      <c r="P149" s="369">
        <f>P151+P152</f>
        <v>0</v>
      </c>
      <c r="Q149" s="369">
        <f>Q151+Q152</f>
        <v>0</v>
      </c>
      <c r="R149" s="369">
        <f>R151+R152</f>
        <v>0</v>
      </c>
      <c r="S149" s="369">
        <f>S151+S152</f>
        <v>0</v>
      </c>
      <c r="T149" s="370">
        <f>T151+T152</f>
        <v>0</v>
      </c>
      <c r="U149" s="368">
        <f>SUM(P149:T149)</f>
        <v>0</v>
      </c>
      <c r="V149" s="479" t="s">
        <v>32</v>
      </c>
      <c r="W149" s="108"/>
      <c r="X149" s="573">
        <f>X151+X152</f>
        <v>0</v>
      </c>
      <c r="Y149" s="573">
        <f>Y151+Y152</f>
        <v>0</v>
      </c>
      <c r="Z149" s="573">
        <f>Z151+Z152</f>
        <v>0</v>
      </c>
      <c r="AA149" s="573">
        <f>AA151+AA152</f>
        <v>0</v>
      </c>
    </row>
    <row r="150" spans="1:27" s="107" customFormat="1" ht="40.5" customHeight="1">
      <c r="A150" s="398"/>
      <c r="B150" s="129" t="s">
        <v>31</v>
      </c>
      <c r="C150" s="418"/>
      <c r="D150" s="380"/>
      <c r="E150" s="503"/>
      <c r="F150" s="414"/>
      <c r="G150" s="438"/>
      <c r="H150" s="460"/>
      <c r="I150" s="462"/>
      <c r="J150" s="462"/>
      <c r="K150" s="460"/>
      <c r="L150" s="485"/>
      <c r="M150" s="215"/>
      <c r="N150" s="363"/>
      <c r="O150" s="549"/>
      <c r="P150" s="373"/>
      <c r="Q150" s="373"/>
      <c r="R150" s="373"/>
      <c r="S150" s="373"/>
      <c r="T150" s="575"/>
      <c r="U150" s="374"/>
      <c r="V150" s="367"/>
      <c r="W150" s="108"/>
      <c r="X150" s="574"/>
      <c r="Y150" s="574"/>
      <c r="Z150" s="574"/>
      <c r="AA150" s="574"/>
    </row>
    <row r="151" spans="1:27" s="107" customFormat="1" ht="18.75" customHeight="1">
      <c r="A151" s="398"/>
      <c r="B151" s="128" t="s">
        <v>24</v>
      </c>
      <c r="C151" s="500"/>
      <c r="D151" s="381"/>
      <c r="E151" s="504"/>
      <c r="F151" s="127"/>
      <c r="G151" s="126"/>
      <c r="H151" s="125"/>
      <c r="I151" s="84"/>
      <c r="J151" s="84"/>
      <c r="K151" s="125"/>
      <c r="L151" s="124">
        <f>G151+H151+I151+J151+K151</f>
        <v>0</v>
      </c>
      <c r="M151" s="62"/>
      <c r="N151" s="363"/>
      <c r="O151" s="123">
        <f>F151-(G151+H151+I151+J151+K151+P151+Q151+R151+S151+T151)</f>
        <v>0</v>
      </c>
      <c r="P151" s="122"/>
      <c r="Q151" s="121"/>
      <c r="R151" s="121"/>
      <c r="S151" s="121"/>
      <c r="T151" s="120"/>
      <c r="U151" s="119">
        <f>SUM(P151:T151)</f>
        <v>0</v>
      </c>
      <c r="V151" s="367"/>
      <c r="W151" s="108"/>
      <c r="X151" s="574"/>
      <c r="Y151" s="574"/>
      <c r="Z151" s="574"/>
      <c r="AA151" s="574"/>
    </row>
    <row r="152" spans="1:27" s="107" customFormat="1" ht="18.75" customHeight="1" thickBot="1">
      <c r="A152" s="499"/>
      <c r="B152" s="118" t="s">
        <v>23</v>
      </c>
      <c r="C152" s="501"/>
      <c r="D152" s="425"/>
      <c r="E152" s="505"/>
      <c r="F152" s="117">
        <f>2102807</f>
        <v>2102807</v>
      </c>
      <c r="G152" s="116">
        <f>155807</f>
        <v>155807</v>
      </c>
      <c r="H152" s="115">
        <f>1947000</f>
        <v>1947000</v>
      </c>
      <c r="I152" s="63"/>
      <c r="J152" s="63"/>
      <c r="K152" s="115"/>
      <c r="L152" s="114">
        <f>G152+H152+I152+J152+K152</f>
        <v>2102807</v>
      </c>
      <c r="M152" s="62"/>
      <c r="N152" s="364"/>
      <c r="O152" s="113">
        <f>F152-(G152+H152+I152+J152+K152+P152+Q152+R152+S152+T152)</f>
        <v>0</v>
      </c>
      <c r="P152" s="112"/>
      <c r="Q152" s="111"/>
      <c r="R152" s="111"/>
      <c r="S152" s="111"/>
      <c r="T152" s="110"/>
      <c r="U152" s="109">
        <f>SUM(P152:T152)</f>
        <v>0</v>
      </c>
      <c r="V152" s="669"/>
      <c r="W152" s="108"/>
      <c r="X152" s="358"/>
      <c r="Y152" s="358"/>
      <c r="Z152" s="358"/>
      <c r="AA152" s="358"/>
    </row>
    <row r="153" spans="1:27" s="55" customFormat="1" ht="16.5" customHeight="1" hidden="1">
      <c r="A153" s="106" t="s">
        <v>30</v>
      </c>
      <c r="B153" s="695" t="s">
        <v>29</v>
      </c>
      <c r="C153" s="696"/>
      <c r="D153" s="696"/>
      <c r="E153" s="697"/>
      <c r="F153" s="96"/>
      <c r="G153" s="105"/>
      <c r="H153" s="104"/>
      <c r="I153" s="104"/>
      <c r="J153" s="104"/>
      <c r="K153" s="104"/>
      <c r="L153" s="99"/>
      <c r="M153" s="99"/>
      <c r="N153" s="61"/>
      <c r="O153" s="59"/>
      <c r="P153" s="59"/>
      <c r="Q153" s="60"/>
      <c r="R153" s="60"/>
      <c r="S153" s="60"/>
      <c r="T153" s="59"/>
      <c r="U153" s="58"/>
      <c r="V153" s="486"/>
      <c r="X153" s="33"/>
      <c r="Y153" s="33"/>
      <c r="Z153" s="33"/>
      <c r="AA153" s="33"/>
    </row>
    <row r="154" spans="1:27" s="55" customFormat="1" ht="16.5" hidden="1">
      <c r="A154" s="93"/>
      <c r="B154" s="482" t="s">
        <v>20</v>
      </c>
      <c r="C154" s="483"/>
      <c r="D154" s="483"/>
      <c r="E154" s="694"/>
      <c r="F154" s="92"/>
      <c r="G154" s="103"/>
      <c r="H154" s="102"/>
      <c r="I154" s="102"/>
      <c r="J154" s="102"/>
      <c r="K154" s="102"/>
      <c r="L154" s="99"/>
      <c r="M154" s="99"/>
      <c r="N154" s="61"/>
      <c r="O154" s="59"/>
      <c r="P154" s="59"/>
      <c r="Q154" s="60"/>
      <c r="R154" s="60"/>
      <c r="S154" s="60"/>
      <c r="T154" s="59"/>
      <c r="U154" s="58"/>
      <c r="V154" s="486"/>
      <c r="X154" s="33"/>
      <c r="Y154" s="33"/>
      <c r="Z154" s="33"/>
      <c r="AA154" s="33"/>
    </row>
    <row r="155" spans="1:27" s="55" customFormat="1" ht="17.25" hidden="1" thickBot="1">
      <c r="A155" s="77"/>
      <c r="B155" s="477" t="s">
        <v>25</v>
      </c>
      <c r="C155" s="478"/>
      <c r="D155" s="478"/>
      <c r="E155" s="692"/>
      <c r="F155" s="76"/>
      <c r="G155" s="101"/>
      <c r="H155" s="100"/>
      <c r="I155" s="100"/>
      <c r="J155" s="100"/>
      <c r="K155" s="100"/>
      <c r="L155" s="99"/>
      <c r="M155" s="99"/>
      <c r="N155" s="61"/>
      <c r="O155" s="59"/>
      <c r="P155" s="59"/>
      <c r="Q155" s="60"/>
      <c r="R155" s="60"/>
      <c r="S155" s="60"/>
      <c r="T155" s="59"/>
      <c r="U155" s="58"/>
      <c r="V155" s="486"/>
      <c r="X155" s="33"/>
      <c r="Y155" s="33"/>
      <c r="Z155" s="33"/>
      <c r="AA155" s="33"/>
    </row>
    <row r="156" spans="1:28" s="55" customFormat="1" ht="16.5" hidden="1">
      <c r="A156" s="73"/>
      <c r="B156" s="98" t="s">
        <v>28</v>
      </c>
      <c r="C156" s="480"/>
      <c r="D156" s="71"/>
      <c r="E156" s="70"/>
      <c r="F156" s="90"/>
      <c r="G156" s="69"/>
      <c r="H156" s="68"/>
      <c r="I156" s="68"/>
      <c r="J156" s="68"/>
      <c r="K156" s="68"/>
      <c r="L156" s="62"/>
      <c r="M156" s="62"/>
      <c r="N156" s="61"/>
      <c r="O156" s="59"/>
      <c r="P156" s="59"/>
      <c r="Q156" s="60"/>
      <c r="R156" s="60"/>
      <c r="S156" s="60"/>
      <c r="T156" s="59"/>
      <c r="U156" s="58"/>
      <c r="V156" s="474"/>
      <c r="W156" s="56"/>
      <c r="X156" s="57"/>
      <c r="Y156" s="57"/>
      <c r="Z156" s="57"/>
      <c r="AA156" s="57"/>
      <c r="AB156" s="56"/>
    </row>
    <row r="157" spans="1:28" s="55" customFormat="1" ht="16.5" hidden="1">
      <c r="A157" s="89"/>
      <c r="B157" s="88" t="s">
        <v>24</v>
      </c>
      <c r="C157" s="506"/>
      <c r="D157" s="87"/>
      <c r="E157" s="87"/>
      <c r="F157" s="86"/>
      <c r="G157" s="85"/>
      <c r="H157" s="84"/>
      <c r="I157" s="84"/>
      <c r="J157" s="84"/>
      <c r="K157" s="84"/>
      <c r="L157" s="62"/>
      <c r="M157" s="62"/>
      <c r="N157" s="61"/>
      <c r="O157" s="59"/>
      <c r="P157" s="59"/>
      <c r="Q157" s="60"/>
      <c r="R157" s="60"/>
      <c r="S157" s="60"/>
      <c r="T157" s="59"/>
      <c r="U157" s="58"/>
      <c r="V157" s="474"/>
      <c r="W157" s="56"/>
      <c r="X157" s="57"/>
      <c r="Y157" s="57"/>
      <c r="Z157" s="57"/>
      <c r="AA157" s="57"/>
      <c r="AB157" s="56"/>
    </row>
    <row r="158" spans="1:28" s="55" customFormat="1" ht="17.25" hidden="1" thickBot="1">
      <c r="A158" s="67"/>
      <c r="B158" s="83" t="s">
        <v>23</v>
      </c>
      <c r="C158" s="572"/>
      <c r="D158" s="65"/>
      <c r="E158" s="65"/>
      <c r="F158" s="82"/>
      <c r="G158" s="64"/>
      <c r="H158" s="63"/>
      <c r="I158" s="63"/>
      <c r="J158" s="63"/>
      <c r="K158" s="63"/>
      <c r="L158" s="62"/>
      <c r="M158" s="62"/>
      <c r="N158" s="61"/>
      <c r="O158" s="59"/>
      <c r="P158" s="59"/>
      <c r="Q158" s="60"/>
      <c r="R158" s="60"/>
      <c r="S158" s="60"/>
      <c r="T158" s="59"/>
      <c r="U158" s="58"/>
      <c r="V158" s="474"/>
      <c r="W158" s="56"/>
      <c r="X158" s="57"/>
      <c r="Y158" s="57"/>
      <c r="Z158" s="57"/>
      <c r="AA158" s="57"/>
      <c r="AB158" s="56"/>
    </row>
    <row r="159" spans="1:28" s="55" customFormat="1" ht="16.5" customHeight="1" hidden="1">
      <c r="A159" s="97" t="s">
        <v>27</v>
      </c>
      <c r="B159" s="475" t="s">
        <v>26</v>
      </c>
      <c r="C159" s="476"/>
      <c r="D159" s="476"/>
      <c r="E159" s="693"/>
      <c r="F159" s="96"/>
      <c r="G159" s="95"/>
      <c r="H159" s="94"/>
      <c r="I159" s="94"/>
      <c r="J159" s="94"/>
      <c r="K159" s="94"/>
      <c r="L159" s="62"/>
      <c r="M159" s="62"/>
      <c r="N159" s="61"/>
      <c r="O159" s="59"/>
      <c r="P159" s="59"/>
      <c r="Q159" s="60"/>
      <c r="R159" s="60"/>
      <c r="S159" s="60"/>
      <c r="T159" s="59"/>
      <c r="U159" s="58"/>
      <c r="V159" s="474"/>
      <c r="W159" s="56"/>
      <c r="X159" s="57"/>
      <c r="Y159" s="57"/>
      <c r="Z159" s="57"/>
      <c r="AA159" s="57"/>
      <c r="AB159" s="56"/>
    </row>
    <row r="160" spans="1:28" s="55" customFormat="1" ht="16.5" hidden="1">
      <c r="A160" s="93"/>
      <c r="B160" s="482" t="s">
        <v>20</v>
      </c>
      <c r="C160" s="483"/>
      <c r="D160" s="483"/>
      <c r="E160" s="694"/>
      <c r="F160" s="92"/>
      <c r="G160" s="85"/>
      <c r="H160" s="84"/>
      <c r="I160" s="84"/>
      <c r="J160" s="84"/>
      <c r="K160" s="84"/>
      <c r="L160" s="62"/>
      <c r="M160" s="62"/>
      <c r="N160" s="61"/>
      <c r="O160" s="59"/>
      <c r="P160" s="59"/>
      <c r="Q160" s="60"/>
      <c r="R160" s="60"/>
      <c r="S160" s="60"/>
      <c r="T160" s="59"/>
      <c r="U160" s="58"/>
      <c r="V160" s="474"/>
      <c r="W160" s="56"/>
      <c r="X160" s="57"/>
      <c r="Y160" s="57"/>
      <c r="Z160" s="57"/>
      <c r="AA160" s="57"/>
      <c r="AB160" s="56"/>
    </row>
    <row r="161" spans="1:28" s="55" customFormat="1" ht="17.25" hidden="1" thickBot="1">
      <c r="A161" s="77"/>
      <c r="B161" s="477" t="s">
        <v>25</v>
      </c>
      <c r="C161" s="478"/>
      <c r="D161" s="478"/>
      <c r="E161" s="692"/>
      <c r="F161" s="76"/>
      <c r="G161" s="75"/>
      <c r="H161" s="74"/>
      <c r="I161" s="74"/>
      <c r="J161" s="74"/>
      <c r="K161" s="74"/>
      <c r="L161" s="62"/>
      <c r="M161" s="62"/>
      <c r="N161" s="61"/>
      <c r="O161" s="59"/>
      <c r="P161" s="59"/>
      <c r="Q161" s="60"/>
      <c r="R161" s="60"/>
      <c r="S161" s="60"/>
      <c r="T161" s="59"/>
      <c r="U161" s="58"/>
      <c r="V161" s="474"/>
      <c r="W161" s="56"/>
      <c r="X161" s="57"/>
      <c r="Y161" s="57"/>
      <c r="Z161" s="57"/>
      <c r="AA161" s="57"/>
      <c r="AB161" s="56"/>
    </row>
    <row r="162" spans="1:28" s="55" customFormat="1" ht="16.5" hidden="1">
      <c r="A162" s="73"/>
      <c r="B162" s="91" t="s">
        <v>19</v>
      </c>
      <c r="C162" s="480"/>
      <c r="D162" s="71"/>
      <c r="E162" s="70"/>
      <c r="F162" s="90"/>
      <c r="G162" s="69"/>
      <c r="H162" s="68"/>
      <c r="I162" s="68"/>
      <c r="J162" s="68"/>
      <c r="K162" s="68"/>
      <c r="L162" s="62"/>
      <c r="M162" s="62"/>
      <c r="N162" s="61"/>
      <c r="O162" s="59"/>
      <c r="P162" s="59"/>
      <c r="Q162" s="60"/>
      <c r="R162" s="60"/>
      <c r="S162" s="60"/>
      <c r="T162" s="59"/>
      <c r="U162" s="58"/>
      <c r="V162" s="474"/>
      <c r="W162" s="56"/>
      <c r="X162" s="57"/>
      <c r="Y162" s="57"/>
      <c r="Z162" s="57"/>
      <c r="AA162" s="57"/>
      <c r="AB162" s="56"/>
    </row>
    <row r="163" spans="1:28" s="55" customFormat="1" ht="16.5" hidden="1">
      <c r="A163" s="89"/>
      <c r="B163" s="88" t="s">
        <v>24</v>
      </c>
      <c r="C163" s="506"/>
      <c r="D163" s="87"/>
      <c r="E163" s="87"/>
      <c r="F163" s="86"/>
      <c r="G163" s="85"/>
      <c r="H163" s="84"/>
      <c r="I163" s="84"/>
      <c r="J163" s="84"/>
      <c r="K163" s="84"/>
      <c r="L163" s="62"/>
      <c r="M163" s="62"/>
      <c r="N163" s="61"/>
      <c r="O163" s="59"/>
      <c r="P163" s="59"/>
      <c r="Q163" s="60"/>
      <c r="R163" s="60"/>
      <c r="S163" s="60"/>
      <c r="T163" s="59"/>
      <c r="U163" s="58"/>
      <c r="V163" s="474"/>
      <c r="W163" s="56"/>
      <c r="X163" s="57"/>
      <c r="Y163" s="57"/>
      <c r="Z163" s="57"/>
      <c r="AA163" s="57"/>
      <c r="AB163" s="56"/>
    </row>
    <row r="164" spans="1:28" s="55" customFormat="1" ht="17.25" hidden="1" thickBot="1">
      <c r="A164" s="67"/>
      <c r="B164" s="83" t="s">
        <v>23</v>
      </c>
      <c r="C164" s="572"/>
      <c r="D164" s="65"/>
      <c r="E164" s="65"/>
      <c r="F164" s="82"/>
      <c r="G164" s="64"/>
      <c r="H164" s="63"/>
      <c r="I164" s="63"/>
      <c r="J164" s="63"/>
      <c r="K164" s="63"/>
      <c r="L164" s="62"/>
      <c r="M164" s="62"/>
      <c r="N164" s="61"/>
      <c r="O164" s="59"/>
      <c r="P164" s="59"/>
      <c r="Q164" s="60"/>
      <c r="R164" s="60"/>
      <c r="S164" s="60"/>
      <c r="T164" s="59"/>
      <c r="U164" s="58"/>
      <c r="V164" s="474"/>
      <c r="W164" s="56"/>
      <c r="X164" s="57"/>
      <c r="Y164" s="57"/>
      <c r="Z164" s="57"/>
      <c r="AA164" s="57"/>
      <c r="AB164" s="56"/>
    </row>
    <row r="165" spans="1:28" s="55" customFormat="1" ht="16.5" customHeight="1" hidden="1">
      <c r="A165" s="81" t="s">
        <v>22</v>
      </c>
      <c r="B165" s="475" t="s">
        <v>21</v>
      </c>
      <c r="C165" s="476"/>
      <c r="D165" s="476"/>
      <c r="E165" s="693"/>
      <c r="F165" s="80"/>
      <c r="G165" s="79"/>
      <c r="H165" s="78"/>
      <c r="I165" s="78"/>
      <c r="J165" s="78"/>
      <c r="K165" s="78"/>
      <c r="L165" s="62"/>
      <c r="M165" s="62"/>
      <c r="N165" s="61"/>
      <c r="O165" s="59"/>
      <c r="P165" s="59"/>
      <c r="Q165" s="60"/>
      <c r="R165" s="60"/>
      <c r="S165" s="60"/>
      <c r="T165" s="59"/>
      <c r="U165" s="58"/>
      <c r="V165" s="474"/>
      <c r="W165" s="56"/>
      <c r="X165" s="57"/>
      <c r="Y165" s="57"/>
      <c r="Z165" s="57"/>
      <c r="AA165" s="57"/>
      <c r="AB165" s="56"/>
    </row>
    <row r="166" spans="1:28" s="55" customFormat="1" ht="17.25" hidden="1" thickBot="1">
      <c r="A166" s="77"/>
      <c r="B166" s="477" t="s">
        <v>20</v>
      </c>
      <c r="C166" s="478"/>
      <c r="D166" s="478"/>
      <c r="E166" s="692"/>
      <c r="F166" s="76"/>
      <c r="G166" s="75"/>
      <c r="H166" s="74"/>
      <c r="I166" s="74"/>
      <c r="J166" s="74"/>
      <c r="K166" s="74"/>
      <c r="L166" s="62"/>
      <c r="M166" s="62"/>
      <c r="N166" s="61"/>
      <c r="O166" s="59"/>
      <c r="P166" s="59"/>
      <c r="Q166" s="60"/>
      <c r="R166" s="60"/>
      <c r="S166" s="60"/>
      <c r="T166" s="59"/>
      <c r="U166" s="58"/>
      <c r="V166" s="474"/>
      <c r="W166" s="56"/>
      <c r="X166" s="57"/>
      <c r="Y166" s="57"/>
      <c r="Z166" s="57"/>
      <c r="AA166" s="57"/>
      <c r="AB166" s="56"/>
    </row>
    <row r="167" spans="1:28" s="55" customFormat="1" ht="16.5" hidden="1">
      <c r="A167" s="73"/>
      <c r="B167" s="72" t="s">
        <v>19</v>
      </c>
      <c r="C167" s="480"/>
      <c r="D167" s="71"/>
      <c r="E167" s="70"/>
      <c r="F167" s="481"/>
      <c r="G167" s="69"/>
      <c r="H167" s="68"/>
      <c r="I167" s="68"/>
      <c r="J167" s="68"/>
      <c r="K167" s="68"/>
      <c r="L167" s="62"/>
      <c r="M167" s="62"/>
      <c r="N167" s="61"/>
      <c r="O167" s="59"/>
      <c r="P167" s="59"/>
      <c r="Q167" s="60"/>
      <c r="R167" s="60"/>
      <c r="S167" s="60"/>
      <c r="T167" s="59"/>
      <c r="U167" s="58"/>
      <c r="V167" s="474"/>
      <c r="W167" s="56"/>
      <c r="X167" s="57"/>
      <c r="Y167" s="57"/>
      <c r="Z167" s="57"/>
      <c r="AA167" s="57"/>
      <c r="AB167" s="56"/>
    </row>
    <row r="168" spans="1:28" s="55" customFormat="1" ht="17.25" hidden="1" thickBot="1">
      <c r="A168" s="67"/>
      <c r="B168" s="66" t="s">
        <v>18</v>
      </c>
      <c r="C168" s="572"/>
      <c r="D168" s="65"/>
      <c r="E168" s="65"/>
      <c r="F168" s="691"/>
      <c r="G168" s="64"/>
      <c r="H168" s="63"/>
      <c r="I168" s="63"/>
      <c r="J168" s="63"/>
      <c r="K168" s="63"/>
      <c r="L168" s="62"/>
      <c r="M168" s="62"/>
      <c r="N168" s="61"/>
      <c r="O168" s="59"/>
      <c r="P168" s="59"/>
      <c r="Q168" s="60"/>
      <c r="R168" s="60"/>
      <c r="S168" s="60"/>
      <c r="T168" s="59"/>
      <c r="U168" s="58"/>
      <c r="V168" s="474"/>
      <c r="W168" s="56"/>
      <c r="X168" s="57"/>
      <c r="Y168" s="57"/>
      <c r="Z168" s="57"/>
      <c r="AA168" s="57"/>
      <c r="AB168" s="56"/>
    </row>
    <row r="169" spans="12:28" ht="17.25" hidden="1" thickBot="1">
      <c r="L169" s="10"/>
      <c r="N169" s="7"/>
      <c r="O169" s="9"/>
      <c r="P169" s="9"/>
      <c r="Q169" s="7"/>
      <c r="R169" s="7"/>
      <c r="S169" s="7"/>
      <c r="T169" s="7"/>
      <c r="U169" s="8"/>
      <c r="V169" s="4"/>
      <c r="W169" s="54"/>
      <c r="X169" s="4"/>
      <c r="Y169" s="4"/>
      <c r="Z169" s="4"/>
      <c r="AA169" s="4"/>
      <c r="AB169" s="54"/>
    </row>
    <row r="170" spans="5:28" ht="16.5" hidden="1">
      <c r="E170" s="664">
        <v>1</v>
      </c>
      <c r="F170" s="330" t="s">
        <v>8</v>
      </c>
      <c r="G170" s="330">
        <v>2012</v>
      </c>
      <c r="H170" s="330">
        <v>2013</v>
      </c>
      <c r="I170" s="330">
        <v>2014</v>
      </c>
      <c r="J170" s="330">
        <v>2015</v>
      </c>
      <c r="K170" s="331">
        <v>2016</v>
      </c>
      <c r="L170" s="10"/>
      <c r="N170" s="7"/>
      <c r="O170" s="9"/>
      <c r="P170" s="9"/>
      <c r="Q170" s="7"/>
      <c r="R170" s="7"/>
      <c r="S170" s="7"/>
      <c r="T170" s="7"/>
      <c r="U170" s="8"/>
      <c r="V170" s="4"/>
      <c r="W170" s="54"/>
      <c r="X170" s="4"/>
      <c r="Y170" s="4"/>
      <c r="Z170" s="4"/>
      <c r="AA170" s="4"/>
      <c r="AB170" s="54"/>
    </row>
    <row r="171" spans="5:28" ht="16.5" hidden="1">
      <c r="E171" s="689"/>
      <c r="F171" s="39">
        <f aca="true" t="shared" si="23" ref="F171:K171">F175+F209</f>
        <v>55980111</v>
      </c>
      <c r="G171" s="39">
        <f t="shared" si="23"/>
        <v>8264401</v>
      </c>
      <c r="H171" s="39">
        <f t="shared" si="23"/>
        <v>11467669</v>
      </c>
      <c r="I171" s="39">
        <f t="shared" si="23"/>
        <v>22237919</v>
      </c>
      <c r="J171" s="39">
        <f t="shared" si="23"/>
        <v>2908900</v>
      </c>
      <c r="K171" s="327">
        <f t="shared" si="23"/>
        <v>923100</v>
      </c>
      <c r="L171" s="10"/>
      <c r="N171" s="7"/>
      <c r="O171" s="9"/>
      <c r="P171" s="9"/>
      <c r="Q171" s="7"/>
      <c r="R171" s="7"/>
      <c r="S171" s="7"/>
      <c r="T171" s="7"/>
      <c r="U171" s="8"/>
      <c r="V171" s="4"/>
      <c r="W171" s="54"/>
      <c r="X171" s="4"/>
      <c r="Y171" s="4"/>
      <c r="Z171" s="4"/>
      <c r="AA171" s="4"/>
      <c r="AB171" s="54"/>
    </row>
    <row r="172" spans="5:28" ht="16.5" hidden="1">
      <c r="E172" s="689"/>
      <c r="F172" s="39">
        <f aca="true" t="shared" si="24" ref="F172:K172">F176+F210</f>
        <v>9457617</v>
      </c>
      <c r="G172" s="39">
        <f t="shared" si="24"/>
        <v>2140218</v>
      </c>
      <c r="H172" s="39">
        <f t="shared" si="24"/>
        <v>1763710</v>
      </c>
      <c r="I172" s="39">
        <f t="shared" si="24"/>
        <v>821710</v>
      </c>
      <c r="J172" s="39">
        <f t="shared" si="24"/>
        <v>908900</v>
      </c>
      <c r="K172" s="327">
        <f t="shared" si="24"/>
        <v>923100</v>
      </c>
      <c r="L172" s="10"/>
      <c r="N172" s="7"/>
      <c r="O172" s="9"/>
      <c r="P172" s="9"/>
      <c r="Q172" s="7"/>
      <c r="R172" s="7"/>
      <c r="S172" s="7"/>
      <c r="T172" s="7"/>
      <c r="U172" s="8"/>
      <c r="V172" s="4"/>
      <c r="W172" s="54"/>
      <c r="X172" s="4"/>
      <c r="Y172" s="4"/>
      <c r="Z172" s="4"/>
      <c r="AA172" s="4"/>
      <c r="AB172" s="54"/>
    </row>
    <row r="173" spans="5:28" ht="17.25" hidden="1" thickBot="1">
      <c r="E173" s="690"/>
      <c r="F173" s="328">
        <f aca="true" t="shared" si="25" ref="F173:K173">F177+F211</f>
        <v>44959787</v>
      </c>
      <c r="G173" s="328">
        <f t="shared" si="25"/>
        <v>5409685</v>
      </c>
      <c r="H173" s="328">
        <f t="shared" si="25"/>
        <v>8899750</v>
      </c>
      <c r="I173" s="328">
        <f t="shared" si="25"/>
        <v>21372209</v>
      </c>
      <c r="J173" s="328">
        <f t="shared" si="25"/>
        <v>2000000</v>
      </c>
      <c r="K173" s="329">
        <f t="shared" si="25"/>
        <v>0</v>
      </c>
      <c r="L173" s="10"/>
      <c r="N173" s="7"/>
      <c r="O173" s="9"/>
      <c r="P173" s="9"/>
      <c r="Q173" s="7"/>
      <c r="R173" s="7"/>
      <c r="S173" s="7"/>
      <c r="T173" s="7"/>
      <c r="U173" s="8"/>
      <c r="V173" s="4"/>
      <c r="W173" s="54"/>
      <c r="X173" s="4"/>
      <c r="Y173" s="4"/>
      <c r="Z173" s="4"/>
      <c r="AA173" s="4"/>
      <c r="AB173" s="54"/>
    </row>
    <row r="174" spans="5:28" s="6" customFormat="1" ht="16.5" hidden="1">
      <c r="E174" s="663" t="s">
        <v>17</v>
      </c>
      <c r="F174" s="330" t="s">
        <v>8</v>
      </c>
      <c r="G174" s="330">
        <v>2012</v>
      </c>
      <c r="H174" s="330">
        <v>2013</v>
      </c>
      <c r="I174" s="330">
        <v>2014</v>
      </c>
      <c r="J174" s="330">
        <v>2015</v>
      </c>
      <c r="K174" s="331">
        <v>2016</v>
      </c>
      <c r="L174" s="50"/>
      <c r="M174" s="50"/>
      <c r="N174" s="52"/>
      <c r="O174" s="53"/>
      <c r="P174" s="53"/>
      <c r="Q174" s="52"/>
      <c r="R174" s="52"/>
      <c r="S174" s="52"/>
      <c r="T174" s="52"/>
      <c r="U174" s="51"/>
      <c r="V174" s="50"/>
      <c r="W174" s="49"/>
      <c r="X174" s="50"/>
      <c r="Y174" s="50"/>
      <c r="Z174" s="50"/>
      <c r="AA174" s="50"/>
      <c r="AB174" s="49"/>
    </row>
    <row r="175" spans="5:28" s="6" customFormat="1" ht="16.5" hidden="1">
      <c r="E175" s="687"/>
      <c r="F175" s="39">
        <f aca="true" t="shared" si="26" ref="F175:K177">F178+F181+F184+F187+F190+F193+F196+F199+F202+F205</f>
        <v>11958217</v>
      </c>
      <c r="G175" s="39">
        <f t="shared" si="26"/>
        <v>4538441</v>
      </c>
      <c r="H175" s="39">
        <f t="shared" si="26"/>
        <v>3276219</v>
      </c>
      <c r="I175" s="39">
        <f t="shared" si="26"/>
        <v>154810</v>
      </c>
      <c r="J175" s="39">
        <f t="shared" si="26"/>
        <v>38000</v>
      </c>
      <c r="K175" s="327">
        <f t="shared" si="26"/>
        <v>0</v>
      </c>
      <c r="L175" s="50"/>
      <c r="M175" s="50"/>
      <c r="N175" s="52"/>
      <c r="O175" s="53"/>
      <c r="P175" s="53"/>
      <c r="Q175" s="52"/>
      <c r="R175" s="52"/>
      <c r="S175" s="52"/>
      <c r="T175" s="52"/>
      <c r="U175" s="51"/>
      <c r="V175" s="50"/>
      <c r="W175" s="49"/>
      <c r="X175" s="50"/>
      <c r="Y175" s="50"/>
      <c r="Z175" s="50"/>
      <c r="AA175" s="50"/>
      <c r="AB175" s="49"/>
    </row>
    <row r="176" spans="5:28" s="6" customFormat="1" ht="16.5" hidden="1">
      <c r="E176" s="687"/>
      <c r="F176" s="39">
        <f t="shared" si="26"/>
        <v>4954453</v>
      </c>
      <c r="G176" s="39">
        <f t="shared" si="26"/>
        <v>1498254</v>
      </c>
      <c r="H176" s="39">
        <f t="shared" si="26"/>
        <v>892010</v>
      </c>
      <c r="I176" s="39">
        <f t="shared" si="26"/>
        <v>110810</v>
      </c>
      <c r="J176" s="39">
        <f t="shared" si="26"/>
        <v>38000</v>
      </c>
      <c r="K176" s="327">
        <f t="shared" si="26"/>
        <v>0</v>
      </c>
      <c r="L176" s="50"/>
      <c r="M176" s="50"/>
      <c r="N176" s="52"/>
      <c r="O176" s="53"/>
      <c r="P176" s="53"/>
      <c r="Q176" s="52"/>
      <c r="R176" s="52"/>
      <c r="S176" s="52"/>
      <c r="T176" s="52"/>
      <c r="U176" s="51"/>
      <c r="V176" s="50"/>
      <c r="W176" s="49"/>
      <c r="X176" s="50"/>
      <c r="Y176" s="50"/>
      <c r="Z176" s="50"/>
      <c r="AA176" s="50"/>
      <c r="AB176" s="49"/>
    </row>
    <row r="177" spans="5:28" s="6" customFormat="1" ht="17.25" hidden="1" thickBot="1">
      <c r="E177" s="688"/>
      <c r="F177" s="328">
        <f t="shared" si="26"/>
        <v>5441057</v>
      </c>
      <c r="G177" s="328">
        <f t="shared" si="26"/>
        <v>2325689</v>
      </c>
      <c r="H177" s="328">
        <f t="shared" si="26"/>
        <v>1580000</v>
      </c>
      <c r="I177" s="328">
        <f t="shared" si="26"/>
        <v>0</v>
      </c>
      <c r="J177" s="328">
        <f t="shared" si="26"/>
        <v>0</v>
      </c>
      <c r="K177" s="329">
        <f t="shared" si="26"/>
        <v>0</v>
      </c>
      <c r="L177" s="50"/>
      <c r="M177" s="50"/>
      <c r="N177" s="52"/>
      <c r="O177" s="53"/>
      <c r="P177" s="53"/>
      <c r="Q177" s="52"/>
      <c r="R177" s="52"/>
      <c r="S177" s="52"/>
      <c r="T177" s="52"/>
      <c r="U177" s="51"/>
      <c r="V177" s="50"/>
      <c r="W177" s="49"/>
      <c r="X177" s="50"/>
      <c r="Y177" s="50"/>
      <c r="Z177" s="50"/>
      <c r="AA177" s="50"/>
      <c r="AB177" s="49"/>
    </row>
    <row r="178" spans="1:28" s="15" customFormat="1" ht="16.5" hidden="1">
      <c r="A178" s="6"/>
      <c r="D178" s="48"/>
      <c r="E178" s="45" t="s">
        <v>6</v>
      </c>
      <c r="F178" s="29">
        <f aca="true" t="shared" si="27" ref="F178:K178">F20</f>
        <v>2669998</v>
      </c>
      <c r="G178" s="29">
        <f t="shared" si="27"/>
        <v>1634065</v>
      </c>
      <c r="H178" s="29">
        <f t="shared" si="27"/>
        <v>0</v>
      </c>
      <c r="I178" s="29">
        <f t="shared" si="27"/>
        <v>0</v>
      </c>
      <c r="J178" s="29">
        <f t="shared" si="27"/>
        <v>0</v>
      </c>
      <c r="K178" s="29">
        <f t="shared" si="27"/>
        <v>0</v>
      </c>
      <c r="L178" s="20"/>
      <c r="M178" s="19"/>
      <c r="N178" s="16"/>
      <c r="O178" s="18"/>
      <c r="P178" s="18"/>
      <c r="Q178" s="16"/>
      <c r="R178" s="16"/>
      <c r="S178" s="16"/>
      <c r="T178" s="16"/>
      <c r="U178" s="17"/>
      <c r="V178" s="19"/>
      <c r="W178" s="47"/>
      <c r="X178" s="19"/>
      <c r="Y178" s="19"/>
      <c r="Z178" s="19"/>
      <c r="AA178" s="19"/>
      <c r="AB178" s="47"/>
    </row>
    <row r="179" spans="4:27" ht="16.5" hidden="1">
      <c r="D179" s="46"/>
      <c r="E179" s="41" t="s">
        <v>1</v>
      </c>
      <c r="F179" s="13">
        <f aca="true" t="shared" si="28" ref="F179:K179">F22</f>
        <v>0</v>
      </c>
      <c r="G179" s="13">
        <f t="shared" si="28"/>
        <v>0</v>
      </c>
      <c r="H179" s="13">
        <f t="shared" si="28"/>
        <v>0</v>
      </c>
      <c r="I179" s="13">
        <f t="shared" si="28"/>
        <v>0</v>
      </c>
      <c r="J179" s="13">
        <f t="shared" si="28"/>
        <v>0</v>
      </c>
      <c r="K179" s="13">
        <f t="shared" si="28"/>
        <v>0</v>
      </c>
      <c r="L179" s="10"/>
      <c r="N179" s="7"/>
      <c r="O179" s="9"/>
      <c r="P179" s="9"/>
      <c r="Q179" s="7"/>
      <c r="R179" s="7"/>
      <c r="S179" s="7"/>
      <c r="T179" s="7"/>
      <c r="U179" s="8"/>
      <c r="V179" s="7"/>
      <c r="X179" s="7"/>
      <c r="Y179" s="7"/>
      <c r="Z179" s="7"/>
      <c r="AA179" s="7"/>
    </row>
    <row r="180" spans="4:27" ht="16.5" hidden="1">
      <c r="D180" s="46"/>
      <c r="E180" s="40" t="s">
        <v>0</v>
      </c>
      <c r="F180" s="11">
        <f aca="true" t="shared" si="29" ref="F180:K180">F23</f>
        <v>2669998</v>
      </c>
      <c r="G180" s="11">
        <f t="shared" si="29"/>
        <v>1634065</v>
      </c>
      <c r="H180" s="11">
        <f t="shared" si="29"/>
        <v>0</v>
      </c>
      <c r="I180" s="11">
        <f t="shared" si="29"/>
        <v>0</v>
      </c>
      <c r="J180" s="11">
        <f t="shared" si="29"/>
        <v>0</v>
      </c>
      <c r="K180" s="11">
        <f t="shared" si="29"/>
        <v>0</v>
      </c>
      <c r="L180" s="10"/>
      <c r="N180" s="7"/>
      <c r="O180" s="9"/>
      <c r="P180" s="9"/>
      <c r="Q180" s="7"/>
      <c r="R180" s="7"/>
      <c r="S180" s="7"/>
      <c r="T180" s="7"/>
      <c r="U180" s="8"/>
      <c r="V180" s="7"/>
      <c r="X180" s="7"/>
      <c r="Y180" s="7"/>
      <c r="Z180" s="7"/>
      <c r="AA180" s="7"/>
    </row>
    <row r="181" spans="1:27" s="15" customFormat="1" ht="16.5" hidden="1">
      <c r="A181" s="6"/>
      <c r="D181" s="43"/>
      <c r="E181" s="42" t="s">
        <v>16</v>
      </c>
      <c r="F181" s="21">
        <f aca="true" t="shared" si="30" ref="F181:K181">F24</f>
        <v>476021</v>
      </c>
      <c r="G181" s="21">
        <f t="shared" si="30"/>
        <v>70500</v>
      </c>
      <c r="H181" s="21">
        <f t="shared" si="30"/>
        <v>71000</v>
      </c>
      <c r="I181" s="21">
        <f t="shared" si="30"/>
        <v>73000</v>
      </c>
      <c r="J181" s="21">
        <f t="shared" si="30"/>
        <v>38000</v>
      </c>
      <c r="K181" s="21">
        <f t="shared" si="30"/>
        <v>0</v>
      </c>
      <c r="L181" s="20"/>
      <c r="M181" s="19"/>
      <c r="N181" s="16"/>
      <c r="O181" s="18"/>
      <c r="P181" s="18"/>
      <c r="Q181" s="16"/>
      <c r="R181" s="16"/>
      <c r="S181" s="16"/>
      <c r="T181" s="16"/>
      <c r="U181" s="17"/>
      <c r="V181" s="16"/>
      <c r="X181" s="16"/>
      <c r="Y181" s="16"/>
      <c r="Z181" s="16"/>
      <c r="AA181" s="16"/>
    </row>
    <row r="182" spans="4:27" ht="16.5" hidden="1">
      <c r="D182" s="44"/>
      <c r="E182" s="41" t="s">
        <v>1</v>
      </c>
      <c r="F182" s="13">
        <f aca="true" t="shared" si="31" ref="F182:K182">F26</f>
        <v>418275</v>
      </c>
      <c r="G182" s="13">
        <f t="shared" si="31"/>
        <v>70500</v>
      </c>
      <c r="H182" s="13">
        <f t="shared" si="31"/>
        <v>71000</v>
      </c>
      <c r="I182" s="13">
        <f t="shared" si="31"/>
        <v>73000</v>
      </c>
      <c r="J182" s="13">
        <f t="shared" si="31"/>
        <v>38000</v>
      </c>
      <c r="K182" s="13">
        <f t="shared" si="31"/>
        <v>0</v>
      </c>
      <c r="L182" s="33"/>
      <c r="M182" s="57"/>
      <c r="N182" s="7"/>
      <c r="O182" s="9"/>
      <c r="P182" s="9"/>
      <c r="Q182" s="7"/>
      <c r="R182" s="7"/>
      <c r="S182" s="7"/>
      <c r="T182" s="7"/>
      <c r="U182" s="8"/>
      <c r="V182" s="7"/>
      <c r="X182" s="7"/>
      <c r="Y182" s="7"/>
      <c r="Z182" s="7"/>
      <c r="AA182" s="7"/>
    </row>
    <row r="183" spans="4:27" ht="16.5" hidden="1">
      <c r="D183" s="44"/>
      <c r="E183" s="41" t="s">
        <v>0</v>
      </c>
      <c r="F183" s="13">
        <f aca="true" t="shared" si="32" ref="F183:K183">F27</f>
        <v>57746</v>
      </c>
      <c r="G183" s="13">
        <f t="shared" si="32"/>
        <v>0</v>
      </c>
      <c r="H183" s="13">
        <f t="shared" si="32"/>
        <v>0</v>
      </c>
      <c r="I183" s="13">
        <f t="shared" si="32"/>
        <v>0</v>
      </c>
      <c r="J183" s="13">
        <f t="shared" si="32"/>
        <v>0</v>
      </c>
      <c r="K183" s="13">
        <f t="shared" si="32"/>
        <v>0</v>
      </c>
      <c r="L183" s="10"/>
      <c r="N183" s="7"/>
      <c r="O183" s="9"/>
      <c r="P183" s="9"/>
      <c r="Q183" s="7"/>
      <c r="R183" s="7"/>
      <c r="S183" s="7"/>
      <c r="T183" s="7"/>
      <c r="U183" s="8"/>
      <c r="V183" s="7"/>
      <c r="X183" s="7"/>
      <c r="Y183" s="7"/>
      <c r="Z183" s="7"/>
      <c r="AA183" s="7"/>
    </row>
    <row r="184" spans="1:27" s="15" customFormat="1" ht="16.5" hidden="1">
      <c r="A184" s="6"/>
      <c r="D184" s="43"/>
      <c r="E184" s="42" t="s">
        <v>15</v>
      </c>
      <c r="F184" s="21">
        <f aca="true" t="shared" si="33" ref="F184:K184">F28</f>
        <v>942374</v>
      </c>
      <c r="G184" s="21">
        <f t="shared" si="33"/>
        <v>783491</v>
      </c>
      <c r="H184" s="21">
        <f t="shared" si="33"/>
        <v>0</v>
      </c>
      <c r="I184" s="21">
        <f t="shared" si="33"/>
        <v>0</v>
      </c>
      <c r="J184" s="21">
        <f t="shared" si="33"/>
        <v>0</v>
      </c>
      <c r="K184" s="21">
        <f t="shared" si="33"/>
        <v>0</v>
      </c>
      <c r="L184" s="20"/>
      <c r="M184" s="19"/>
      <c r="N184" s="16"/>
      <c r="O184" s="18"/>
      <c r="P184" s="18"/>
      <c r="Q184" s="16"/>
      <c r="R184" s="16"/>
      <c r="S184" s="16"/>
      <c r="T184" s="16"/>
      <c r="U184" s="17"/>
      <c r="V184" s="16"/>
      <c r="X184" s="16"/>
      <c r="Y184" s="16"/>
      <c r="Z184" s="16"/>
      <c r="AA184" s="16"/>
    </row>
    <row r="185" spans="4:27" ht="16.5" hidden="1">
      <c r="D185" s="44"/>
      <c r="E185" s="41" t="s">
        <v>1</v>
      </c>
      <c r="F185" s="13">
        <f aca="true" t="shared" si="34" ref="F185:K185">F30</f>
        <v>139037</v>
      </c>
      <c r="G185" s="13">
        <f t="shared" si="34"/>
        <v>111867</v>
      </c>
      <c r="H185" s="13">
        <f t="shared" si="34"/>
        <v>0</v>
      </c>
      <c r="I185" s="13">
        <f t="shared" si="34"/>
        <v>0</v>
      </c>
      <c r="J185" s="13">
        <f t="shared" si="34"/>
        <v>0</v>
      </c>
      <c r="K185" s="13">
        <f t="shared" si="34"/>
        <v>0</v>
      </c>
      <c r="L185" s="10"/>
      <c r="N185" s="7"/>
      <c r="O185" s="9"/>
      <c r="P185" s="9"/>
      <c r="Q185" s="7"/>
      <c r="R185" s="7"/>
      <c r="S185" s="7"/>
      <c r="T185" s="7"/>
      <c r="U185" s="8"/>
      <c r="V185" s="7"/>
      <c r="X185" s="7"/>
      <c r="Y185" s="7"/>
      <c r="Z185" s="7"/>
      <c r="AA185" s="7"/>
    </row>
    <row r="186" spans="4:27" ht="16.5" hidden="1">
      <c r="D186" s="44"/>
      <c r="E186" s="40" t="s">
        <v>0</v>
      </c>
      <c r="F186" s="11">
        <f aca="true" t="shared" si="35" ref="F186:K186">F31</f>
        <v>803337</v>
      </c>
      <c r="G186" s="11">
        <f t="shared" si="35"/>
        <v>671624</v>
      </c>
      <c r="H186" s="11">
        <f t="shared" si="35"/>
        <v>0</v>
      </c>
      <c r="I186" s="11">
        <f t="shared" si="35"/>
        <v>0</v>
      </c>
      <c r="J186" s="11">
        <f t="shared" si="35"/>
        <v>0</v>
      </c>
      <c r="K186" s="11">
        <f t="shared" si="35"/>
        <v>0</v>
      </c>
      <c r="L186" s="10"/>
      <c r="N186" s="7"/>
      <c r="O186" s="9"/>
      <c r="P186" s="9"/>
      <c r="Q186" s="7"/>
      <c r="R186" s="7"/>
      <c r="S186" s="7"/>
      <c r="T186" s="7"/>
      <c r="U186" s="8"/>
      <c r="V186" s="7"/>
      <c r="X186" s="7"/>
      <c r="Y186" s="7"/>
      <c r="Z186" s="7"/>
      <c r="AA186" s="7"/>
    </row>
    <row r="187" spans="1:27" s="15" customFormat="1" ht="16.5" hidden="1">
      <c r="A187" s="6"/>
      <c r="D187" s="43"/>
      <c r="E187" s="42" t="s">
        <v>14</v>
      </c>
      <c r="F187" s="21">
        <f aca="true" t="shared" si="36" ref="F187:K187">F32+F40+F41</f>
        <v>54850</v>
      </c>
      <c r="G187" s="21">
        <f t="shared" si="36"/>
        <v>15554</v>
      </c>
      <c r="H187" s="21">
        <f t="shared" si="36"/>
        <v>0</v>
      </c>
      <c r="I187" s="21">
        <f t="shared" si="36"/>
        <v>0</v>
      </c>
      <c r="J187" s="21">
        <f t="shared" si="36"/>
        <v>0</v>
      </c>
      <c r="K187" s="21">
        <f t="shared" si="36"/>
        <v>0</v>
      </c>
      <c r="L187" s="20"/>
      <c r="M187" s="19"/>
      <c r="N187" s="16"/>
      <c r="O187" s="18"/>
      <c r="P187" s="18"/>
      <c r="Q187" s="16"/>
      <c r="R187" s="16"/>
      <c r="S187" s="16"/>
      <c r="T187" s="16"/>
      <c r="U187" s="17"/>
      <c r="V187" s="16"/>
      <c r="X187" s="16"/>
      <c r="Y187" s="16"/>
      <c r="Z187" s="16"/>
      <c r="AA187" s="16"/>
    </row>
    <row r="188" spans="4:27" ht="16.5" hidden="1">
      <c r="D188" s="44"/>
      <c r="E188" s="41" t="s">
        <v>1</v>
      </c>
      <c r="F188" s="13">
        <f aca="true" t="shared" si="37" ref="F188:K189">F34+F40</f>
        <v>54850</v>
      </c>
      <c r="G188" s="13">
        <f t="shared" si="37"/>
        <v>15554</v>
      </c>
      <c r="H188" s="13">
        <f t="shared" si="37"/>
        <v>0</v>
      </c>
      <c r="I188" s="13">
        <f t="shared" si="37"/>
        <v>0</v>
      </c>
      <c r="J188" s="13">
        <f t="shared" si="37"/>
        <v>0</v>
      </c>
      <c r="K188" s="13">
        <f t="shared" si="37"/>
        <v>0</v>
      </c>
      <c r="L188" s="10"/>
      <c r="N188" s="7"/>
      <c r="O188" s="9"/>
      <c r="P188" s="9"/>
      <c r="Q188" s="7"/>
      <c r="R188" s="7"/>
      <c r="S188" s="7"/>
      <c r="T188" s="7"/>
      <c r="U188" s="8"/>
      <c r="V188" s="7"/>
      <c r="X188" s="7"/>
      <c r="Y188" s="7"/>
      <c r="Z188" s="7"/>
      <c r="AA188" s="7"/>
    </row>
    <row r="189" spans="4:27" ht="16.5" hidden="1">
      <c r="D189" s="44"/>
      <c r="E189" s="40" t="s">
        <v>0</v>
      </c>
      <c r="F189" s="11">
        <f t="shared" si="37"/>
        <v>0</v>
      </c>
      <c r="G189" s="11">
        <f t="shared" si="37"/>
        <v>0</v>
      </c>
      <c r="H189" s="11">
        <f t="shared" si="37"/>
        <v>0</v>
      </c>
      <c r="I189" s="11">
        <f t="shared" si="37"/>
        <v>0</v>
      </c>
      <c r="J189" s="11">
        <f t="shared" si="37"/>
        <v>0</v>
      </c>
      <c r="K189" s="11">
        <f t="shared" si="37"/>
        <v>0</v>
      </c>
      <c r="L189" s="10"/>
      <c r="N189" s="7"/>
      <c r="O189" s="9"/>
      <c r="P189" s="9"/>
      <c r="Q189" s="7"/>
      <c r="R189" s="7"/>
      <c r="S189" s="7"/>
      <c r="T189" s="7"/>
      <c r="U189" s="8"/>
      <c r="V189" s="7"/>
      <c r="X189" s="7"/>
      <c r="Y189" s="7"/>
      <c r="Z189" s="7"/>
      <c r="AA189" s="7"/>
    </row>
    <row r="190" spans="1:27" s="15" customFormat="1" ht="16.5" hidden="1">
      <c r="A190" s="6"/>
      <c r="D190" s="43"/>
      <c r="E190" s="42" t="s">
        <v>13</v>
      </c>
      <c r="F190" s="21">
        <f aca="true" t="shared" si="38" ref="F190:K190">F48+F49</f>
        <v>17955</v>
      </c>
      <c r="G190" s="21">
        <f t="shared" si="38"/>
        <v>5740</v>
      </c>
      <c r="H190" s="21">
        <f t="shared" si="38"/>
        <v>0</v>
      </c>
      <c r="I190" s="21">
        <f t="shared" si="38"/>
        <v>0</v>
      </c>
      <c r="J190" s="21">
        <f t="shared" si="38"/>
        <v>0</v>
      </c>
      <c r="K190" s="21">
        <f t="shared" si="38"/>
        <v>0</v>
      </c>
      <c r="L190" s="20"/>
      <c r="M190" s="19"/>
      <c r="N190" s="16"/>
      <c r="O190" s="18"/>
      <c r="P190" s="18"/>
      <c r="Q190" s="16"/>
      <c r="R190" s="16"/>
      <c r="S190" s="16"/>
      <c r="T190" s="16"/>
      <c r="U190" s="17"/>
      <c r="V190" s="16"/>
      <c r="X190" s="16"/>
      <c r="Y190" s="16"/>
      <c r="Z190" s="16"/>
      <c r="AA190" s="16"/>
    </row>
    <row r="191" spans="4:27" ht="16.5" hidden="1">
      <c r="D191" s="44"/>
      <c r="E191" s="45" t="s">
        <v>1</v>
      </c>
      <c r="F191" s="13">
        <f aca="true" t="shared" si="39" ref="F191:K191">F48</f>
        <v>17955</v>
      </c>
      <c r="G191" s="13">
        <f t="shared" si="39"/>
        <v>5740</v>
      </c>
      <c r="H191" s="13">
        <f t="shared" si="39"/>
        <v>0</v>
      </c>
      <c r="I191" s="13">
        <f t="shared" si="39"/>
        <v>0</v>
      </c>
      <c r="J191" s="13">
        <f t="shared" si="39"/>
        <v>0</v>
      </c>
      <c r="K191" s="13">
        <f t="shared" si="39"/>
        <v>0</v>
      </c>
      <c r="L191" s="10"/>
      <c r="N191" s="7"/>
      <c r="O191" s="9"/>
      <c r="P191" s="9"/>
      <c r="Q191" s="7"/>
      <c r="R191" s="7"/>
      <c r="S191" s="7"/>
      <c r="T191" s="7"/>
      <c r="U191" s="8"/>
      <c r="V191" s="7"/>
      <c r="X191" s="7"/>
      <c r="Y191" s="7"/>
      <c r="Z191" s="7"/>
      <c r="AA191" s="7"/>
    </row>
    <row r="192" spans="4:27" ht="16.5" hidden="1">
      <c r="D192" s="44"/>
      <c r="E192" s="40" t="s">
        <v>0</v>
      </c>
      <c r="F192" s="11">
        <f aca="true" t="shared" si="40" ref="F192:K192">F49</f>
        <v>0</v>
      </c>
      <c r="G192" s="11">
        <f t="shared" si="40"/>
        <v>0</v>
      </c>
      <c r="H192" s="11">
        <f t="shared" si="40"/>
        <v>0</v>
      </c>
      <c r="I192" s="11">
        <f t="shared" si="40"/>
        <v>0</v>
      </c>
      <c r="J192" s="11">
        <f t="shared" si="40"/>
        <v>0</v>
      </c>
      <c r="K192" s="11">
        <f t="shared" si="40"/>
        <v>0</v>
      </c>
      <c r="L192" s="10"/>
      <c r="N192" s="7"/>
      <c r="O192" s="9"/>
      <c r="P192" s="9"/>
      <c r="Q192" s="7"/>
      <c r="R192" s="7"/>
      <c r="S192" s="7"/>
      <c r="T192" s="7"/>
      <c r="U192" s="8"/>
      <c r="V192" s="7"/>
      <c r="X192" s="7"/>
      <c r="Y192" s="7"/>
      <c r="Z192" s="7"/>
      <c r="AA192" s="7"/>
    </row>
    <row r="193" spans="1:27" s="15" customFormat="1" ht="16.5" hidden="1">
      <c r="A193" s="6"/>
      <c r="D193" s="43"/>
      <c r="E193" s="42" t="s">
        <v>12</v>
      </c>
      <c r="F193" s="21">
        <f aca="true" t="shared" si="41" ref="F193:K193">F50+F51+F56+F57</f>
        <v>327045</v>
      </c>
      <c r="G193" s="21">
        <f t="shared" si="41"/>
        <v>96452</v>
      </c>
      <c r="H193" s="21">
        <f t="shared" si="41"/>
        <v>0</v>
      </c>
      <c r="I193" s="21">
        <f t="shared" si="41"/>
        <v>0</v>
      </c>
      <c r="J193" s="21">
        <f t="shared" si="41"/>
        <v>0</v>
      </c>
      <c r="K193" s="21">
        <f t="shared" si="41"/>
        <v>0</v>
      </c>
      <c r="L193" s="20"/>
      <c r="M193" s="19"/>
      <c r="N193" s="16"/>
      <c r="O193" s="18"/>
      <c r="P193" s="18"/>
      <c r="Q193" s="16"/>
      <c r="R193" s="16"/>
      <c r="S193" s="16"/>
      <c r="T193" s="16"/>
      <c r="U193" s="17"/>
      <c r="V193" s="16"/>
      <c r="X193" s="16"/>
      <c r="Y193" s="16"/>
      <c r="Z193" s="16"/>
      <c r="AA193" s="16"/>
    </row>
    <row r="194" spans="4:27" ht="16.5" hidden="1">
      <c r="D194" s="44"/>
      <c r="E194" s="41" t="s">
        <v>1</v>
      </c>
      <c r="F194" s="13">
        <f aca="true" t="shared" si="42" ref="F194:K194">F50+F56</f>
        <v>177045</v>
      </c>
      <c r="G194" s="13">
        <f t="shared" si="42"/>
        <v>96452</v>
      </c>
      <c r="H194" s="13">
        <f t="shared" si="42"/>
        <v>0</v>
      </c>
      <c r="I194" s="13">
        <f t="shared" si="42"/>
        <v>0</v>
      </c>
      <c r="J194" s="13">
        <f t="shared" si="42"/>
        <v>0</v>
      </c>
      <c r="K194" s="13">
        <f t="shared" si="42"/>
        <v>0</v>
      </c>
      <c r="L194" s="10"/>
      <c r="N194" s="7"/>
      <c r="O194" s="9"/>
      <c r="P194" s="9"/>
      <c r="Q194" s="7"/>
      <c r="R194" s="7"/>
      <c r="S194" s="7"/>
      <c r="T194" s="7"/>
      <c r="U194" s="8"/>
      <c r="V194" s="7"/>
      <c r="X194" s="7"/>
      <c r="Y194" s="7"/>
      <c r="Z194" s="7"/>
      <c r="AA194" s="7"/>
    </row>
    <row r="195" spans="4:27" ht="16.5" hidden="1">
      <c r="D195" s="44"/>
      <c r="E195" s="40" t="s">
        <v>0</v>
      </c>
      <c r="F195" s="11">
        <f aca="true" t="shared" si="43" ref="F195:K195">F51+F57</f>
        <v>150000</v>
      </c>
      <c r="G195" s="11">
        <f t="shared" si="43"/>
        <v>0</v>
      </c>
      <c r="H195" s="11">
        <f t="shared" si="43"/>
        <v>0</v>
      </c>
      <c r="I195" s="11">
        <f t="shared" si="43"/>
        <v>0</v>
      </c>
      <c r="J195" s="11">
        <f t="shared" si="43"/>
        <v>0</v>
      </c>
      <c r="K195" s="11">
        <f t="shared" si="43"/>
        <v>0</v>
      </c>
      <c r="L195" s="10"/>
      <c r="N195" s="7"/>
      <c r="O195" s="9"/>
      <c r="P195" s="9"/>
      <c r="Q195" s="7"/>
      <c r="R195" s="7"/>
      <c r="S195" s="7"/>
      <c r="T195" s="7"/>
      <c r="U195" s="8"/>
      <c r="V195" s="7"/>
      <c r="X195" s="7"/>
      <c r="Y195" s="7"/>
      <c r="Z195" s="7"/>
      <c r="AA195" s="7"/>
    </row>
    <row r="196" spans="1:27" s="15" customFormat="1" ht="16.5" hidden="1">
      <c r="A196" s="6"/>
      <c r="D196" s="43"/>
      <c r="E196" s="42" t="s">
        <v>3</v>
      </c>
      <c r="F196" s="21">
        <f aca="true" t="shared" si="44" ref="F196:K196">F58+F59+F60</f>
        <v>790542</v>
      </c>
      <c r="G196" s="21">
        <f t="shared" si="44"/>
        <v>448708</v>
      </c>
      <c r="H196" s="21">
        <f t="shared" si="44"/>
        <v>0</v>
      </c>
      <c r="I196" s="21">
        <f t="shared" si="44"/>
        <v>0</v>
      </c>
      <c r="J196" s="21">
        <f t="shared" si="44"/>
        <v>0</v>
      </c>
      <c r="K196" s="21">
        <f t="shared" si="44"/>
        <v>0</v>
      </c>
      <c r="L196" s="20"/>
      <c r="M196" s="19"/>
      <c r="N196" s="16"/>
      <c r="O196" s="18"/>
      <c r="P196" s="18"/>
      <c r="Q196" s="16"/>
      <c r="R196" s="16"/>
      <c r="S196" s="16"/>
      <c r="T196" s="16"/>
      <c r="U196" s="17"/>
      <c r="V196" s="16"/>
      <c r="X196" s="16"/>
      <c r="Y196" s="16"/>
      <c r="Z196" s="16"/>
      <c r="AA196" s="16"/>
    </row>
    <row r="197" spans="4:27" ht="16.5" hidden="1">
      <c r="D197" s="44"/>
      <c r="E197" s="41" t="s">
        <v>1</v>
      </c>
      <c r="F197" s="13">
        <f aca="true" t="shared" si="45" ref="F197:K197">F58+F62</f>
        <v>630566</v>
      </c>
      <c r="G197" s="13">
        <f t="shared" si="45"/>
        <v>448708</v>
      </c>
      <c r="H197" s="13">
        <f t="shared" si="45"/>
        <v>0</v>
      </c>
      <c r="I197" s="13">
        <f t="shared" si="45"/>
        <v>0</v>
      </c>
      <c r="J197" s="13">
        <f t="shared" si="45"/>
        <v>0</v>
      </c>
      <c r="K197" s="13">
        <f t="shared" si="45"/>
        <v>0</v>
      </c>
      <c r="L197" s="10"/>
      <c r="N197" s="7"/>
      <c r="O197" s="9"/>
      <c r="P197" s="9"/>
      <c r="Q197" s="7"/>
      <c r="R197" s="7"/>
      <c r="S197" s="7"/>
      <c r="T197" s="7"/>
      <c r="U197" s="8"/>
      <c r="V197" s="7"/>
      <c r="X197" s="7"/>
      <c r="Y197" s="7"/>
      <c r="Z197" s="7"/>
      <c r="AA197" s="7"/>
    </row>
    <row r="198" spans="4:27" ht="16.5" hidden="1">
      <c r="D198" s="44"/>
      <c r="E198" s="40" t="s">
        <v>0</v>
      </c>
      <c r="F198" s="11">
        <f aca="true" t="shared" si="46" ref="F198:K198">F59+F63</f>
        <v>159976</v>
      </c>
      <c r="G198" s="11">
        <f t="shared" si="46"/>
        <v>0</v>
      </c>
      <c r="H198" s="11">
        <f t="shared" si="46"/>
        <v>0</v>
      </c>
      <c r="I198" s="11">
        <f t="shared" si="46"/>
        <v>0</v>
      </c>
      <c r="J198" s="11">
        <f t="shared" si="46"/>
        <v>0</v>
      </c>
      <c r="K198" s="11">
        <f t="shared" si="46"/>
        <v>0</v>
      </c>
      <c r="L198" s="10"/>
      <c r="N198" s="7"/>
      <c r="O198" s="9"/>
      <c r="P198" s="9"/>
      <c r="Q198" s="7"/>
      <c r="R198" s="7"/>
      <c r="S198" s="7"/>
      <c r="T198" s="7"/>
      <c r="U198" s="8"/>
      <c r="V198" s="7"/>
      <c r="X198" s="7"/>
      <c r="Y198" s="7"/>
      <c r="Z198" s="7"/>
      <c r="AA198" s="7"/>
    </row>
    <row r="199" spans="1:27" s="15" customFormat="1" ht="16.5" hidden="1">
      <c r="A199" s="6"/>
      <c r="D199" s="43"/>
      <c r="E199" s="42" t="s">
        <v>11</v>
      </c>
      <c r="F199" s="21">
        <f aca="true" t="shared" si="47" ref="F199:K199">F42+F43</f>
        <v>295900</v>
      </c>
      <c r="G199" s="21">
        <f t="shared" si="47"/>
        <v>41393</v>
      </c>
      <c r="H199" s="21">
        <f t="shared" si="47"/>
        <v>0</v>
      </c>
      <c r="I199" s="21">
        <f t="shared" si="47"/>
        <v>0</v>
      </c>
      <c r="J199" s="21">
        <f t="shared" si="47"/>
        <v>0</v>
      </c>
      <c r="K199" s="21">
        <f t="shared" si="47"/>
        <v>0</v>
      </c>
      <c r="L199" s="20"/>
      <c r="M199" s="19"/>
      <c r="N199" s="16"/>
      <c r="O199" s="18"/>
      <c r="P199" s="18"/>
      <c r="Q199" s="16"/>
      <c r="R199" s="16"/>
      <c r="S199" s="16"/>
      <c r="T199" s="16"/>
      <c r="U199" s="17"/>
      <c r="V199" s="16"/>
      <c r="X199" s="16"/>
      <c r="Y199" s="16"/>
      <c r="Z199" s="16"/>
      <c r="AA199" s="16"/>
    </row>
    <row r="200" spans="4:27" ht="16.5" hidden="1">
      <c r="D200" s="44"/>
      <c r="E200" s="41" t="s">
        <v>1</v>
      </c>
      <c r="F200" s="13">
        <f aca="true" t="shared" si="48" ref="F200:K200">F42</f>
        <v>295900</v>
      </c>
      <c r="G200" s="13">
        <f t="shared" si="48"/>
        <v>41393</v>
      </c>
      <c r="H200" s="13">
        <f t="shared" si="48"/>
        <v>0</v>
      </c>
      <c r="I200" s="13">
        <f t="shared" si="48"/>
        <v>0</v>
      </c>
      <c r="J200" s="13">
        <f t="shared" si="48"/>
        <v>0</v>
      </c>
      <c r="K200" s="13">
        <f t="shared" si="48"/>
        <v>0</v>
      </c>
      <c r="L200" s="10"/>
      <c r="N200" s="7"/>
      <c r="O200" s="9"/>
      <c r="P200" s="9"/>
      <c r="Q200" s="7"/>
      <c r="R200" s="7"/>
      <c r="S200" s="7"/>
      <c r="T200" s="7"/>
      <c r="U200" s="8"/>
      <c r="V200" s="7"/>
      <c r="X200" s="7"/>
      <c r="Y200" s="7"/>
      <c r="Z200" s="7"/>
      <c r="AA200" s="7"/>
    </row>
    <row r="201" spans="4:27" ht="16.5" hidden="1">
      <c r="D201" s="44"/>
      <c r="E201" s="40" t="s">
        <v>0</v>
      </c>
      <c r="F201" s="11">
        <f aca="true" t="shared" si="49" ref="F201:K201">F43</f>
        <v>0</v>
      </c>
      <c r="G201" s="11">
        <f t="shared" si="49"/>
        <v>0</v>
      </c>
      <c r="H201" s="11">
        <f t="shared" si="49"/>
        <v>0</v>
      </c>
      <c r="I201" s="11">
        <f t="shared" si="49"/>
        <v>0</v>
      </c>
      <c r="J201" s="11">
        <f t="shared" si="49"/>
        <v>0</v>
      </c>
      <c r="K201" s="11">
        <f t="shared" si="49"/>
        <v>0</v>
      </c>
      <c r="L201" s="10"/>
      <c r="N201" s="7"/>
      <c r="O201" s="9"/>
      <c r="P201" s="9"/>
      <c r="Q201" s="7"/>
      <c r="R201" s="7"/>
      <c r="S201" s="7"/>
      <c r="T201" s="7"/>
      <c r="U201" s="8"/>
      <c r="V201" s="7"/>
      <c r="X201" s="7"/>
      <c r="Y201" s="7"/>
      <c r="Z201" s="7"/>
      <c r="AA201" s="7"/>
    </row>
    <row r="202" spans="4:27" ht="16.5" hidden="1">
      <c r="D202" s="44"/>
      <c r="E202" s="42" t="s">
        <v>2</v>
      </c>
      <c r="F202" s="37">
        <f aca="true" t="shared" si="50" ref="F202:K202">F64</f>
        <v>1600000</v>
      </c>
      <c r="G202" s="37">
        <f t="shared" si="50"/>
        <v>20000</v>
      </c>
      <c r="H202" s="37">
        <f t="shared" si="50"/>
        <v>1580000</v>
      </c>
      <c r="I202" s="37">
        <f t="shared" si="50"/>
        <v>0</v>
      </c>
      <c r="J202" s="37">
        <f t="shared" si="50"/>
        <v>0</v>
      </c>
      <c r="K202" s="21">
        <f t="shared" si="50"/>
        <v>0</v>
      </c>
      <c r="L202" s="10"/>
      <c r="N202" s="7"/>
      <c r="O202" s="9"/>
      <c r="P202" s="9"/>
      <c r="Q202" s="7"/>
      <c r="R202" s="7"/>
      <c r="S202" s="7"/>
      <c r="T202" s="7"/>
      <c r="U202" s="8"/>
      <c r="V202" s="7"/>
      <c r="X202" s="7"/>
      <c r="Y202" s="7"/>
      <c r="Z202" s="7"/>
      <c r="AA202" s="7"/>
    </row>
    <row r="203" spans="4:27" ht="16.5" hidden="1">
      <c r="D203" s="44"/>
      <c r="E203" s="41" t="s">
        <v>1</v>
      </c>
      <c r="F203" s="34">
        <f aca="true" t="shared" si="51" ref="F203:K204">F66</f>
        <v>0</v>
      </c>
      <c r="G203" s="34">
        <f t="shared" si="51"/>
        <v>0</v>
      </c>
      <c r="H203" s="34">
        <f t="shared" si="51"/>
        <v>0</v>
      </c>
      <c r="I203" s="34">
        <f t="shared" si="51"/>
        <v>0</v>
      </c>
      <c r="J203" s="34">
        <f t="shared" si="51"/>
        <v>0</v>
      </c>
      <c r="K203" s="13">
        <f t="shared" si="51"/>
        <v>0</v>
      </c>
      <c r="L203" s="10"/>
      <c r="N203" s="7"/>
      <c r="O203" s="9"/>
      <c r="P203" s="9"/>
      <c r="Q203" s="7"/>
      <c r="R203" s="7"/>
      <c r="S203" s="7"/>
      <c r="T203" s="7"/>
      <c r="U203" s="8"/>
      <c r="V203" s="7"/>
      <c r="X203" s="7"/>
      <c r="Y203" s="7"/>
      <c r="Z203" s="7"/>
      <c r="AA203" s="7"/>
    </row>
    <row r="204" spans="4:27" ht="16.5" hidden="1">
      <c r="D204" s="44"/>
      <c r="E204" s="40" t="s">
        <v>0</v>
      </c>
      <c r="F204" s="31">
        <f t="shared" si="51"/>
        <v>1600000</v>
      </c>
      <c r="G204" s="31">
        <f t="shared" si="51"/>
        <v>20000</v>
      </c>
      <c r="H204" s="31">
        <f t="shared" si="51"/>
        <v>1580000</v>
      </c>
      <c r="I204" s="31">
        <f t="shared" si="51"/>
        <v>0</v>
      </c>
      <c r="J204" s="31">
        <f t="shared" si="51"/>
        <v>0</v>
      </c>
      <c r="K204" s="11">
        <f t="shared" si="51"/>
        <v>0</v>
      </c>
      <c r="L204" s="10"/>
      <c r="N204" s="7"/>
      <c r="O204" s="9"/>
      <c r="P204" s="9"/>
      <c r="Q204" s="7"/>
      <c r="R204" s="7"/>
      <c r="S204" s="7"/>
      <c r="T204" s="7"/>
      <c r="U204" s="8"/>
      <c r="V204" s="7"/>
      <c r="X204" s="7"/>
      <c r="Y204" s="7"/>
      <c r="Z204" s="7"/>
      <c r="AA204" s="7"/>
    </row>
    <row r="205" spans="1:27" s="15" customFormat="1" ht="16.5" hidden="1">
      <c r="A205" s="6"/>
      <c r="D205" s="43"/>
      <c r="E205" s="42" t="s">
        <v>10</v>
      </c>
      <c r="F205" s="37">
        <f aca="true" t="shared" si="52" ref="F205:K205">F68+F72+F76+F80+F84+F88+F92</f>
        <v>4783532</v>
      </c>
      <c r="G205" s="37">
        <f t="shared" si="52"/>
        <v>1422538</v>
      </c>
      <c r="H205" s="37">
        <f t="shared" si="52"/>
        <v>1625219</v>
      </c>
      <c r="I205" s="37">
        <f t="shared" si="52"/>
        <v>81810</v>
      </c>
      <c r="J205" s="37">
        <f t="shared" si="52"/>
        <v>0</v>
      </c>
      <c r="K205" s="21">
        <f t="shared" si="52"/>
        <v>0</v>
      </c>
      <c r="L205" s="20"/>
      <c r="M205" s="19"/>
      <c r="N205" s="16"/>
      <c r="O205" s="18"/>
      <c r="P205" s="18"/>
      <c r="Q205" s="16"/>
      <c r="R205" s="16"/>
      <c r="S205" s="16"/>
      <c r="T205" s="16"/>
      <c r="U205" s="17"/>
      <c r="V205" s="16"/>
      <c r="X205" s="16"/>
      <c r="Y205" s="16"/>
      <c r="Z205" s="16"/>
      <c r="AA205" s="16"/>
    </row>
    <row r="206" spans="5:27" ht="16.5" hidden="1">
      <c r="E206" s="41" t="s">
        <v>1</v>
      </c>
      <c r="F206" s="34">
        <f aca="true" t="shared" si="53" ref="F206:K207">F70+F78+F82</f>
        <v>3220825</v>
      </c>
      <c r="G206" s="34">
        <f t="shared" si="53"/>
        <v>708040</v>
      </c>
      <c r="H206" s="34">
        <f t="shared" si="53"/>
        <v>821010</v>
      </c>
      <c r="I206" s="34">
        <f t="shared" si="53"/>
        <v>37810</v>
      </c>
      <c r="J206" s="34">
        <f t="shared" si="53"/>
        <v>0</v>
      </c>
      <c r="K206" s="13">
        <f t="shared" si="53"/>
        <v>0</v>
      </c>
      <c r="L206" s="10"/>
      <c r="N206" s="7"/>
      <c r="O206" s="9"/>
      <c r="P206" s="9"/>
      <c r="Q206" s="7"/>
      <c r="R206" s="7"/>
      <c r="S206" s="7"/>
      <c r="T206" s="7"/>
      <c r="U206" s="8"/>
      <c r="V206" s="7"/>
      <c r="X206" s="7"/>
      <c r="Y206" s="7"/>
      <c r="Z206" s="7"/>
      <c r="AA206" s="7"/>
    </row>
    <row r="207" spans="5:27" ht="17.25" hidden="1" thickBot="1">
      <c r="E207" s="41" t="s">
        <v>0</v>
      </c>
      <c r="F207" s="34">
        <f t="shared" si="53"/>
        <v>0</v>
      </c>
      <c r="G207" s="34">
        <f t="shared" si="53"/>
        <v>0</v>
      </c>
      <c r="H207" s="34">
        <f t="shared" si="53"/>
        <v>0</v>
      </c>
      <c r="I207" s="34">
        <f t="shared" si="53"/>
        <v>0</v>
      </c>
      <c r="J207" s="34">
        <f t="shared" si="53"/>
        <v>0</v>
      </c>
      <c r="K207" s="13">
        <f t="shared" si="53"/>
        <v>0</v>
      </c>
      <c r="L207" s="10"/>
      <c r="N207" s="7"/>
      <c r="O207" s="9"/>
      <c r="P207" s="9"/>
      <c r="Q207" s="7"/>
      <c r="R207" s="7"/>
      <c r="S207" s="7"/>
      <c r="T207" s="7"/>
      <c r="U207" s="8"/>
      <c r="V207" s="7"/>
      <c r="X207" s="7"/>
      <c r="Y207" s="7"/>
      <c r="Z207" s="7"/>
      <c r="AA207" s="7"/>
    </row>
    <row r="208" spans="5:27" ht="16.5" hidden="1">
      <c r="E208" s="663" t="s">
        <v>9</v>
      </c>
      <c r="F208" s="330" t="s">
        <v>8</v>
      </c>
      <c r="G208" s="330">
        <v>2012</v>
      </c>
      <c r="H208" s="330">
        <v>2013</v>
      </c>
      <c r="I208" s="330">
        <v>2014</v>
      </c>
      <c r="J208" s="330">
        <v>2015</v>
      </c>
      <c r="K208" s="331">
        <v>2016</v>
      </c>
      <c r="L208" s="10"/>
      <c r="N208" s="7"/>
      <c r="O208" s="9"/>
      <c r="P208" s="9"/>
      <c r="Q208" s="7"/>
      <c r="R208" s="7"/>
      <c r="S208" s="7"/>
      <c r="T208" s="7"/>
      <c r="U208" s="8"/>
      <c r="V208" s="7"/>
      <c r="X208" s="7"/>
      <c r="Y208" s="7"/>
      <c r="Z208" s="7"/>
      <c r="AA208" s="7"/>
    </row>
    <row r="209" spans="5:27" ht="16.5" hidden="1">
      <c r="E209" s="687"/>
      <c r="F209" s="39">
        <f aca="true" t="shared" si="54" ref="F209:K209">F212+F215+F218+F221+F224+F227</f>
        <v>44021894</v>
      </c>
      <c r="G209" s="39">
        <f t="shared" si="54"/>
        <v>3725960</v>
      </c>
      <c r="H209" s="39">
        <f t="shared" si="54"/>
        <v>8191450</v>
      </c>
      <c r="I209" s="39">
        <f t="shared" si="54"/>
        <v>22083109</v>
      </c>
      <c r="J209" s="39">
        <f t="shared" si="54"/>
        <v>2870900</v>
      </c>
      <c r="K209" s="327">
        <f t="shared" si="54"/>
        <v>923100</v>
      </c>
      <c r="L209" s="10"/>
      <c r="N209" s="7"/>
      <c r="O209" s="9"/>
      <c r="P209" s="9"/>
      <c r="Q209" s="7"/>
      <c r="R209" s="7"/>
      <c r="S209" s="7"/>
      <c r="T209" s="7"/>
      <c r="U209" s="8"/>
      <c r="V209" s="7"/>
      <c r="X209" s="7"/>
      <c r="Y209" s="7"/>
      <c r="Z209" s="7"/>
      <c r="AA209" s="7"/>
    </row>
    <row r="210" spans="5:27" ht="16.5" hidden="1">
      <c r="E210" s="687"/>
      <c r="F210" s="39">
        <f aca="true" t="shared" si="55" ref="F210:K210">F213+F216+F219+F222+F225+F228</f>
        <v>4503164</v>
      </c>
      <c r="G210" s="39">
        <f t="shared" si="55"/>
        <v>641964</v>
      </c>
      <c r="H210" s="39">
        <f t="shared" si="55"/>
        <v>871700</v>
      </c>
      <c r="I210" s="39">
        <f t="shared" si="55"/>
        <v>710900</v>
      </c>
      <c r="J210" s="39">
        <f t="shared" si="55"/>
        <v>870900</v>
      </c>
      <c r="K210" s="327">
        <f t="shared" si="55"/>
        <v>923100</v>
      </c>
      <c r="L210" s="10"/>
      <c r="N210" s="7"/>
      <c r="O210" s="9"/>
      <c r="P210" s="9"/>
      <c r="Q210" s="7"/>
      <c r="R210" s="7"/>
      <c r="S210" s="7"/>
      <c r="T210" s="7"/>
      <c r="U210" s="8"/>
      <c r="V210" s="7"/>
      <c r="X210" s="7"/>
      <c r="Y210" s="7"/>
      <c r="Z210" s="7"/>
      <c r="AA210" s="7"/>
    </row>
    <row r="211" spans="5:27" ht="17.25" hidden="1" thickBot="1">
      <c r="E211" s="688"/>
      <c r="F211" s="328">
        <f aca="true" t="shared" si="56" ref="F211:K211">F214+F217+F220+F223+F226+F229</f>
        <v>39518730</v>
      </c>
      <c r="G211" s="328">
        <f t="shared" si="56"/>
        <v>3083996</v>
      </c>
      <c r="H211" s="328">
        <f t="shared" si="56"/>
        <v>7319750</v>
      </c>
      <c r="I211" s="328">
        <f t="shared" si="56"/>
        <v>21372209</v>
      </c>
      <c r="J211" s="328">
        <f t="shared" si="56"/>
        <v>2000000</v>
      </c>
      <c r="K211" s="329">
        <f t="shared" si="56"/>
        <v>0</v>
      </c>
      <c r="L211" s="10"/>
      <c r="N211" s="7"/>
      <c r="O211" s="9"/>
      <c r="P211" s="9"/>
      <c r="Q211" s="7"/>
      <c r="R211" s="7"/>
      <c r="S211" s="7"/>
      <c r="T211" s="7"/>
      <c r="U211" s="8"/>
      <c r="V211" s="7"/>
      <c r="X211" s="7"/>
      <c r="Y211" s="7"/>
      <c r="Z211" s="7"/>
      <c r="AA211" s="7"/>
    </row>
    <row r="212" spans="1:27" s="15" customFormat="1" ht="16.5" hidden="1">
      <c r="A212" s="6"/>
      <c r="E212" s="326" t="s">
        <v>7</v>
      </c>
      <c r="F212" s="29">
        <f aca="true" t="shared" si="57" ref="F212:K212">F99</f>
        <v>1149000</v>
      </c>
      <c r="G212" s="29">
        <f t="shared" si="57"/>
        <v>183000</v>
      </c>
      <c r="H212" s="29">
        <f t="shared" si="57"/>
        <v>188000</v>
      </c>
      <c r="I212" s="29">
        <f t="shared" si="57"/>
        <v>194000</v>
      </c>
      <c r="J212" s="29">
        <f t="shared" si="57"/>
        <v>200000</v>
      </c>
      <c r="K212" s="29">
        <f t="shared" si="57"/>
        <v>206000</v>
      </c>
      <c r="L212" s="20"/>
      <c r="M212" s="19"/>
      <c r="N212" s="16"/>
      <c r="O212" s="18"/>
      <c r="P212" s="18"/>
      <c r="Q212" s="16"/>
      <c r="R212" s="16"/>
      <c r="S212" s="16"/>
      <c r="T212" s="16"/>
      <c r="U212" s="17"/>
      <c r="V212" s="16"/>
      <c r="X212" s="16"/>
      <c r="Y212" s="16"/>
      <c r="Z212" s="16"/>
      <c r="AA212" s="16"/>
    </row>
    <row r="213" spans="5:27" ht="16.5" hidden="1">
      <c r="E213" s="14" t="s">
        <v>1</v>
      </c>
      <c r="F213" s="13">
        <f aca="true" t="shared" si="58" ref="F213:K213">F100</f>
        <v>1149000</v>
      </c>
      <c r="G213" s="13">
        <f t="shared" si="58"/>
        <v>183000</v>
      </c>
      <c r="H213" s="13">
        <f t="shared" si="58"/>
        <v>188000</v>
      </c>
      <c r="I213" s="13">
        <f t="shared" si="58"/>
        <v>194000</v>
      </c>
      <c r="J213" s="13">
        <f t="shared" si="58"/>
        <v>200000</v>
      </c>
      <c r="K213" s="13">
        <f t="shared" si="58"/>
        <v>206000</v>
      </c>
      <c r="L213" s="10"/>
      <c r="N213" s="7"/>
      <c r="O213" s="9"/>
      <c r="P213" s="9"/>
      <c r="Q213" s="7"/>
      <c r="R213" s="7"/>
      <c r="S213" s="7"/>
      <c r="T213" s="7"/>
      <c r="U213" s="8"/>
      <c r="V213" s="7"/>
      <c r="X213" s="7"/>
      <c r="Y213" s="7"/>
      <c r="Z213" s="7"/>
      <c r="AA213" s="7"/>
    </row>
    <row r="214" spans="5:27" ht="16.5" hidden="1">
      <c r="E214" s="12" t="s">
        <v>0</v>
      </c>
      <c r="F214" s="11">
        <f aca="true" t="shared" si="59" ref="F214:K214">F101</f>
        <v>0</v>
      </c>
      <c r="G214" s="11">
        <f t="shared" si="59"/>
        <v>0</v>
      </c>
      <c r="H214" s="11">
        <f t="shared" si="59"/>
        <v>0</v>
      </c>
      <c r="I214" s="11">
        <f t="shared" si="59"/>
        <v>0</v>
      </c>
      <c r="J214" s="11">
        <f t="shared" si="59"/>
        <v>0</v>
      </c>
      <c r="K214" s="11">
        <f t="shared" si="59"/>
        <v>0</v>
      </c>
      <c r="L214" s="10"/>
      <c r="N214" s="7"/>
      <c r="O214" s="9"/>
      <c r="P214" s="9"/>
      <c r="Q214" s="7"/>
      <c r="R214" s="7"/>
      <c r="S214" s="7"/>
      <c r="T214" s="7"/>
      <c r="U214" s="8"/>
      <c r="V214" s="7"/>
      <c r="X214" s="7"/>
      <c r="Y214" s="7"/>
      <c r="Z214" s="7"/>
      <c r="AA214" s="7"/>
    </row>
    <row r="215" spans="1:27" s="15" customFormat="1" ht="16.5" hidden="1">
      <c r="A215" s="6"/>
      <c r="E215" s="22" t="s">
        <v>6</v>
      </c>
      <c r="F215" s="21">
        <f aca="true" t="shared" si="60" ref="F215:K215">F102+F106+F110+F114+F118</f>
        <v>32917396</v>
      </c>
      <c r="G215" s="21">
        <f t="shared" si="60"/>
        <v>369903</v>
      </c>
      <c r="H215" s="21">
        <f t="shared" si="60"/>
        <v>4300000</v>
      </c>
      <c r="I215" s="21">
        <f t="shared" si="60"/>
        <v>20602209</v>
      </c>
      <c r="J215" s="21">
        <f t="shared" si="60"/>
        <v>2000000</v>
      </c>
      <c r="K215" s="21">
        <f t="shared" si="60"/>
        <v>0</v>
      </c>
      <c r="L215" s="20"/>
      <c r="M215" s="19"/>
      <c r="N215" s="16"/>
      <c r="O215" s="18"/>
      <c r="P215" s="18"/>
      <c r="Q215" s="16"/>
      <c r="R215" s="16"/>
      <c r="S215" s="16"/>
      <c r="T215" s="16"/>
      <c r="U215" s="17"/>
      <c r="V215" s="16"/>
      <c r="X215" s="16"/>
      <c r="Y215" s="16"/>
      <c r="Z215" s="16"/>
      <c r="AA215" s="16"/>
    </row>
    <row r="216" spans="5:27" ht="16.5" hidden="1">
      <c r="E216" s="14" t="s">
        <v>1</v>
      </c>
      <c r="F216" s="13">
        <f aca="true" t="shared" si="61" ref="F216:K216">F104+F108+F112+F116+F120</f>
        <v>0</v>
      </c>
      <c r="G216" s="13">
        <f t="shared" si="61"/>
        <v>0</v>
      </c>
      <c r="H216" s="13">
        <f t="shared" si="61"/>
        <v>0</v>
      </c>
      <c r="I216" s="13">
        <f t="shared" si="61"/>
        <v>0</v>
      </c>
      <c r="J216" s="13">
        <f t="shared" si="61"/>
        <v>0</v>
      </c>
      <c r="K216" s="13">
        <f t="shared" si="61"/>
        <v>0</v>
      </c>
      <c r="L216" s="10"/>
      <c r="N216" s="7"/>
      <c r="O216" s="9"/>
      <c r="P216" s="9"/>
      <c r="Q216" s="7"/>
      <c r="R216" s="7"/>
      <c r="S216" s="7"/>
      <c r="T216" s="7"/>
      <c r="U216" s="8"/>
      <c r="V216" s="7"/>
      <c r="X216" s="7"/>
      <c r="Y216" s="7"/>
      <c r="Z216" s="7"/>
      <c r="AA216" s="7"/>
    </row>
    <row r="217" spans="5:27" ht="16.5" hidden="1">
      <c r="E217" s="12" t="s">
        <v>0</v>
      </c>
      <c r="F217" s="13">
        <f aca="true" t="shared" si="62" ref="F217:K217">F105+F109+F113+F117+F121</f>
        <v>32917396</v>
      </c>
      <c r="G217" s="13">
        <f t="shared" si="62"/>
        <v>369903</v>
      </c>
      <c r="H217" s="13">
        <f t="shared" si="62"/>
        <v>4300000</v>
      </c>
      <c r="I217" s="13">
        <f t="shared" si="62"/>
        <v>20602209</v>
      </c>
      <c r="J217" s="13">
        <f t="shared" si="62"/>
        <v>2000000</v>
      </c>
      <c r="K217" s="13">
        <f t="shared" si="62"/>
        <v>0</v>
      </c>
      <c r="L217" s="10"/>
      <c r="N217" s="7"/>
      <c r="O217" s="9"/>
      <c r="P217" s="9"/>
      <c r="Q217" s="7"/>
      <c r="R217" s="7"/>
      <c r="S217" s="7"/>
      <c r="T217" s="7"/>
      <c r="U217" s="8"/>
      <c r="V217" s="7"/>
      <c r="X217" s="7"/>
      <c r="Y217" s="7"/>
      <c r="Z217" s="7"/>
      <c r="AA217" s="7"/>
    </row>
    <row r="218" spans="1:27" s="15" customFormat="1" ht="16.5" hidden="1">
      <c r="A218" s="6"/>
      <c r="E218" s="38" t="s">
        <v>5</v>
      </c>
      <c r="F218" s="37">
        <f aca="true" t="shared" si="63" ref="F218:K218">F122+F125+F128+F131+F134</f>
        <v>3354164</v>
      </c>
      <c r="G218" s="21">
        <f t="shared" si="63"/>
        <v>458964</v>
      </c>
      <c r="H218" s="21">
        <f t="shared" si="63"/>
        <v>683700</v>
      </c>
      <c r="I218" s="36">
        <f t="shared" si="63"/>
        <v>516900</v>
      </c>
      <c r="J218" s="21">
        <f t="shared" si="63"/>
        <v>670900</v>
      </c>
      <c r="K218" s="21">
        <f t="shared" si="63"/>
        <v>717100</v>
      </c>
      <c r="L218" s="20"/>
      <c r="M218" s="19"/>
      <c r="N218" s="16"/>
      <c r="O218" s="18"/>
      <c r="P218" s="18"/>
      <c r="Q218" s="16"/>
      <c r="R218" s="16"/>
      <c r="S218" s="16"/>
      <c r="T218" s="16"/>
      <c r="U218" s="17"/>
      <c r="V218" s="16"/>
      <c r="X218" s="16"/>
      <c r="Y218" s="16"/>
      <c r="Z218" s="16"/>
      <c r="AA218" s="16"/>
    </row>
    <row r="219" spans="5:27" ht="16.5" hidden="1">
      <c r="E219" s="35" t="s">
        <v>1</v>
      </c>
      <c r="F219" s="34">
        <f aca="true" t="shared" si="64" ref="F219:K219">F123+F126+F129+F132+F135</f>
        <v>3354164</v>
      </c>
      <c r="G219" s="13">
        <f t="shared" si="64"/>
        <v>458964</v>
      </c>
      <c r="H219" s="13">
        <f t="shared" si="64"/>
        <v>683700</v>
      </c>
      <c r="I219" s="33">
        <f t="shared" si="64"/>
        <v>516900</v>
      </c>
      <c r="J219" s="13">
        <f t="shared" si="64"/>
        <v>670900</v>
      </c>
      <c r="K219" s="13">
        <f t="shared" si="64"/>
        <v>717100</v>
      </c>
      <c r="L219" s="10"/>
      <c r="N219" s="7"/>
      <c r="O219" s="9"/>
      <c r="P219" s="9"/>
      <c r="Q219" s="7"/>
      <c r="R219" s="7"/>
      <c r="S219" s="7"/>
      <c r="T219" s="7"/>
      <c r="U219" s="8"/>
      <c r="V219" s="7"/>
      <c r="X219" s="7"/>
      <c r="Y219" s="7"/>
      <c r="Z219" s="7"/>
      <c r="AA219" s="7"/>
    </row>
    <row r="220" spans="5:27" ht="16.5" hidden="1">
      <c r="E220" s="32" t="s">
        <v>0</v>
      </c>
      <c r="F220" s="31">
        <f aca="true" t="shared" si="65" ref="F220:K220">F124+F127+F130+F133+F136</f>
        <v>0</v>
      </c>
      <c r="G220" s="11">
        <f t="shared" si="65"/>
        <v>0</v>
      </c>
      <c r="H220" s="11">
        <f t="shared" si="65"/>
        <v>0</v>
      </c>
      <c r="I220" s="30">
        <f t="shared" si="65"/>
        <v>0</v>
      </c>
      <c r="J220" s="11">
        <f t="shared" si="65"/>
        <v>0</v>
      </c>
      <c r="K220" s="11">
        <f t="shared" si="65"/>
        <v>0</v>
      </c>
      <c r="L220" s="10"/>
      <c r="N220" s="7"/>
      <c r="O220" s="9"/>
      <c r="P220" s="9"/>
      <c r="Q220" s="7"/>
      <c r="R220" s="7"/>
      <c r="S220" s="7"/>
      <c r="T220" s="7"/>
      <c r="U220" s="8"/>
      <c r="V220" s="7"/>
      <c r="X220" s="7"/>
      <c r="Y220" s="7"/>
      <c r="Z220" s="7"/>
      <c r="AA220" s="7"/>
    </row>
    <row r="221" spans="1:27" s="15" customFormat="1" ht="16.5" hidden="1">
      <c r="A221" s="6"/>
      <c r="E221" s="22" t="s">
        <v>4</v>
      </c>
      <c r="F221" s="29">
        <f aca="true" t="shared" si="66" ref="F221:K221">F137</f>
        <v>880000</v>
      </c>
      <c r="G221" s="29">
        <f t="shared" si="66"/>
        <v>110000</v>
      </c>
      <c r="H221" s="29">
        <f t="shared" si="66"/>
        <v>0</v>
      </c>
      <c r="I221" s="29">
        <f t="shared" si="66"/>
        <v>770000</v>
      </c>
      <c r="J221" s="29">
        <f t="shared" si="66"/>
        <v>0</v>
      </c>
      <c r="K221" s="29">
        <f t="shared" si="66"/>
        <v>0</v>
      </c>
      <c r="L221" s="20"/>
      <c r="M221" s="19"/>
      <c r="N221" s="16"/>
      <c r="O221" s="18"/>
      <c r="P221" s="18"/>
      <c r="Q221" s="16"/>
      <c r="R221" s="16"/>
      <c r="S221" s="16"/>
      <c r="T221" s="16"/>
      <c r="U221" s="17"/>
      <c r="V221" s="16"/>
      <c r="X221" s="16"/>
      <c r="Y221" s="16"/>
      <c r="Z221" s="16"/>
      <c r="AA221" s="16"/>
    </row>
    <row r="222" spans="5:27" ht="16.5" hidden="1">
      <c r="E222" s="14" t="s">
        <v>1</v>
      </c>
      <c r="F222" s="13">
        <f aca="true" t="shared" si="67" ref="F222:K222">F139</f>
        <v>0</v>
      </c>
      <c r="G222" s="13">
        <f t="shared" si="67"/>
        <v>0</v>
      </c>
      <c r="H222" s="13">
        <f t="shared" si="67"/>
        <v>0</v>
      </c>
      <c r="I222" s="13">
        <f t="shared" si="67"/>
        <v>0</v>
      </c>
      <c r="J222" s="13">
        <f t="shared" si="67"/>
        <v>0</v>
      </c>
      <c r="K222" s="13">
        <f t="shared" si="67"/>
        <v>0</v>
      </c>
      <c r="L222" s="10"/>
      <c r="N222" s="7"/>
      <c r="O222" s="9"/>
      <c r="P222" s="9"/>
      <c r="Q222" s="7"/>
      <c r="R222" s="7"/>
      <c r="S222" s="7"/>
      <c r="T222" s="7"/>
      <c r="U222" s="8"/>
      <c r="V222" s="7"/>
      <c r="X222" s="7"/>
      <c r="Y222" s="7"/>
      <c r="Z222" s="7"/>
      <c r="AA222" s="7"/>
    </row>
    <row r="223" spans="5:27" ht="16.5" hidden="1">
      <c r="E223" s="12" t="s">
        <v>0</v>
      </c>
      <c r="F223" s="11">
        <f aca="true" t="shared" si="68" ref="F223:K223">F140</f>
        <v>880000</v>
      </c>
      <c r="G223" s="11">
        <f t="shared" si="68"/>
        <v>110000</v>
      </c>
      <c r="H223" s="11">
        <f t="shared" si="68"/>
        <v>0</v>
      </c>
      <c r="I223" s="11">
        <f t="shared" si="68"/>
        <v>770000</v>
      </c>
      <c r="J223" s="11">
        <f t="shared" si="68"/>
        <v>0</v>
      </c>
      <c r="K223" s="11">
        <f t="shared" si="68"/>
        <v>0</v>
      </c>
      <c r="L223" s="10"/>
      <c r="N223" s="7"/>
      <c r="O223" s="9"/>
      <c r="P223" s="9"/>
      <c r="Q223" s="7"/>
      <c r="R223" s="7"/>
      <c r="S223" s="7"/>
      <c r="T223" s="7"/>
      <c r="U223" s="8"/>
      <c r="V223" s="7"/>
      <c r="X223" s="7"/>
      <c r="Y223" s="7"/>
      <c r="Z223" s="7"/>
      <c r="AA223" s="7"/>
    </row>
    <row r="224" spans="1:27" s="15" customFormat="1" ht="16.5" hidden="1">
      <c r="A224" s="6"/>
      <c r="E224" s="28" t="s">
        <v>3</v>
      </c>
      <c r="F224" s="27">
        <f aca="true" t="shared" si="69" ref="F224:K224">F141+F145</f>
        <v>3618527</v>
      </c>
      <c r="G224" s="27">
        <f t="shared" si="69"/>
        <v>2448286</v>
      </c>
      <c r="H224" s="27">
        <f t="shared" si="69"/>
        <v>1072750</v>
      </c>
      <c r="I224" s="27">
        <f t="shared" si="69"/>
        <v>0</v>
      </c>
      <c r="J224" s="27">
        <f t="shared" si="69"/>
        <v>0</v>
      </c>
      <c r="K224" s="27">
        <f t="shared" si="69"/>
        <v>0</v>
      </c>
      <c r="L224" s="20"/>
      <c r="M224" s="19"/>
      <c r="N224" s="16"/>
      <c r="O224" s="18"/>
      <c r="P224" s="18"/>
      <c r="Q224" s="16"/>
      <c r="R224" s="16"/>
      <c r="S224" s="16"/>
      <c r="T224" s="16"/>
      <c r="U224" s="17"/>
      <c r="V224" s="16"/>
      <c r="X224" s="16"/>
      <c r="Y224" s="16"/>
      <c r="Z224" s="16"/>
      <c r="AA224" s="16"/>
    </row>
    <row r="225" spans="5:27" ht="16.5" hidden="1">
      <c r="E225" s="26" t="s">
        <v>1</v>
      </c>
      <c r="F225" s="25">
        <f aca="true" t="shared" si="70" ref="F225:K225">F143+F147</f>
        <v>0</v>
      </c>
      <c r="G225" s="25">
        <f t="shared" si="70"/>
        <v>0</v>
      </c>
      <c r="H225" s="25">
        <f t="shared" si="70"/>
        <v>0</v>
      </c>
      <c r="I225" s="25">
        <f t="shared" si="70"/>
        <v>0</v>
      </c>
      <c r="J225" s="25">
        <f t="shared" si="70"/>
        <v>0</v>
      </c>
      <c r="K225" s="25">
        <f t="shared" si="70"/>
        <v>0</v>
      </c>
      <c r="L225" s="10"/>
      <c r="N225" s="7"/>
      <c r="O225" s="9"/>
      <c r="P225" s="9"/>
      <c r="Q225" s="7"/>
      <c r="R225" s="7"/>
      <c r="S225" s="7"/>
      <c r="T225" s="7"/>
      <c r="U225" s="8"/>
      <c r="V225" s="7"/>
      <c r="X225" s="7"/>
      <c r="Y225" s="7"/>
      <c r="Z225" s="7"/>
      <c r="AA225" s="7"/>
    </row>
    <row r="226" spans="5:27" ht="16.5" hidden="1">
      <c r="E226" s="24" t="s">
        <v>0</v>
      </c>
      <c r="F226" s="23">
        <f aca="true" t="shared" si="71" ref="F226:K226">F144+F148</f>
        <v>3618527</v>
      </c>
      <c r="G226" s="23">
        <f t="shared" si="71"/>
        <v>2448286</v>
      </c>
      <c r="H226" s="23">
        <f t="shared" si="71"/>
        <v>1072750</v>
      </c>
      <c r="I226" s="23">
        <f t="shared" si="71"/>
        <v>0</v>
      </c>
      <c r="J226" s="23">
        <f t="shared" si="71"/>
        <v>0</v>
      </c>
      <c r="K226" s="23">
        <f t="shared" si="71"/>
        <v>0</v>
      </c>
      <c r="L226" s="10"/>
      <c r="N226" s="7"/>
      <c r="O226" s="9"/>
      <c r="P226" s="9"/>
      <c r="Q226" s="7"/>
      <c r="R226" s="7"/>
      <c r="S226" s="7"/>
      <c r="T226" s="7"/>
      <c r="U226" s="8"/>
      <c r="V226" s="7"/>
      <c r="X226" s="7"/>
      <c r="Y226" s="7"/>
      <c r="Z226" s="7"/>
      <c r="AA226" s="7"/>
    </row>
    <row r="227" spans="1:27" s="15" customFormat="1" ht="16.5" hidden="1">
      <c r="A227" s="6"/>
      <c r="E227" s="22" t="s">
        <v>2</v>
      </c>
      <c r="F227" s="21">
        <f aca="true" t="shared" si="72" ref="F227:K227">F149</f>
        <v>2102807</v>
      </c>
      <c r="G227" s="21">
        <f t="shared" si="72"/>
        <v>155807</v>
      </c>
      <c r="H227" s="21">
        <f t="shared" si="72"/>
        <v>1947000</v>
      </c>
      <c r="I227" s="21">
        <f t="shared" si="72"/>
        <v>0</v>
      </c>
      <c r="J227" s="21">
        <f t="shared" si="72"/>
        <v>0</v>
      </c>
      <c r="K227" s="21">
        <f t="shared" si="72"/>
        <v>0</v>
      </c>
      <c r="L227" s="20"/>
      <c r="M227" s="19"/>
      <c r="N227" s="16"/>
      <c r="O227" s="18"/>
      <c r="P227" s="18"/>
      <c r="Q227" s="16"/>
      <c r="R227" s="16"/>
      <c r="S227" s="16"/>
      <c r="T227" s="16"/>
      <c r="U227" s="17"/>
      <c r="V227" s="16"/>
      <c r="X227" s="16"/>
      <c r="Y227" s="16"/>
      <c r="Z227" s="16"/>
      <c r="AA227" s="16"/>
    </row>
    <row r="228" spans="5:27" ht="16.5" hidden="1">
      <c r="E228" s="14" t="s">
        <v>1</v>
      </c>
      <c r="F228" s="13">
        <f aca="true" t="shared" si="73" ref="F228:K228">F151</f>
        <v>0</v>
      </c>
      <c r="G228" s="13">
        <f t="shared" si="73"/>
        <v>0</v>
      </c>
      <c r="H228" s="13">
        <f t="shared" si="73"/>
        <v>0</v>
      </c>
      <c r="I228" s="13">
        <f t="shared" si="73"/>
        <v>0</v>
      </c>
      <c r="J228" s="13">
        <f t="shared" si="73"/>
        <v>0</v>
      </c>
      <c r="K228" s="13">
        <f t="shared" si="73"/>
        <v>0</v>
      </c>
      <c r="L228" s="10"/>
      <c r="N228" s="7"/>
      <c r="O228" s="9"/>
      <c r="P228" s="9"/>
      <c r="Q228" s="7"/>
      <c r="R228" s="7"/>
      <c r="S228" s="7"/>
      <c r="T228" s="7"/>
      <c r="U228" s="8"/>
      <c r="V228" s="7"/>
      <c r="X228" s="7"/>
      <c r="Y228" s="7"/>
      <c r="Z228" s="7"/>
      <c r="AA228" s="7"/>
    </row>
    <row r="229" spans="5:27" ht="16.5" hidden="1">
      <c r="E229" s="12" t="s">
        <v>0</v>
      </c>
      <c r="F229" s="11">
        <f aca="true" t="shared" si="74" ref="F229:K229">F152</f>
        <v>2102807</v>
      </c>
      <c r="G229" s="11">
        <f t="shared" si="74"/>
        <v>155807</v>
      </c>
      <c r="H229" s="11">
        <f t="shared" si="74"/>
        <v>1947000</v>
      </c>
      <c r="I229" s="11">
        <f t="shared" si="74"/>
        <v>0</v>
      </c>
      <c r="J229" s="11">
        <f t="shared" si="74"/>
        <v>0</v>
      </c>
      <c r="K229" s="11">
        <f t="shared" si="74"/>
        <v>0</v>
      </c>
      <c r="L229" s="10"/>
      <c r="N229" s="7"/>
      <c r="O229" s="9"/>
      <c r="P229" s="9"/>
      <c r="Q229" s="7"/>
      <c r="R229" s="7"/>
      <c r="S229" s="7"/>
      <c r="T229" s="7"/>
      <c r="U229" s="8"/>
      <c r="V229" s="7"/>
      <c r="X229" s="7"/>
      <c r="Y229" s="7"/>
      <c r="Z229" s="7"/>
      <c r="AA229" s="7"/>
    </row>
    <row r="230" spans="12:27" ht="16.5" hidden="1">
      <c r="L230" s="10"/>
      <c r="N230" s="7"/>
      <c r="O230" s="9"/>
      <c r="P230" s="9"/>
      <c r="Q230" s="7"/>
      <c r="R230" s="7"/>
      <c r="S230" s="7"/>
      <c r="T230" s="7"/>
      <c r="U230" s="8"/>
      <c r="V230" s="7"/>
      <c r="X230" s="7"/>
      <c r="Y230" s="7"/>
      <c r="Z230" s="7"/>
      <c r="AA230" s="7"/>
    </row>
    <row r="231" spans="12:27" ht="16.5" hidden="1">
      <c r="L231" s="10"/>
      <c r="N231" s="7"/>
      <c r="O231" s="9"/>
      <c r="P231" s="9"/>
      <c r="Q231" s="7"/>
      <c r="R231" s="7"/>
      <c r="S231" s="7"/>
      <c r="T231" s="7"/>
      <c r="U231" s="8"/>
      <c r="V231" s="7"/>
      <c r="X231" s="7"/>
      <c r="Y231" s="7"/>
      <c r="Z231" s="7"/>
      <c r="AA231" s="7"/>
    </row>
    <row r="232" spans="12:27" ht="16.5">
      <c r="L232" s="10"/>
      <c r="N232" s="7"/>
      <c r="O232" s="9"/>
      <c r="P232" s="9"/>
      <c r="Q232" s="7"/>
      <c r="R232" s="7"/>
      <c r="S232" s="7"/>
      <c r="T232" s="7"/>
      <c r="U232" s="8"/>
      <c r="V232" s="7"/>
      <c r="X232" s="7"/>
      <c r="Y232" s="7"/>
      <c r="Z232" s="7"/>
      <c r="AA232" s="7"/>
    </row>
    <row r="233" spans="12:27" ht="16.5">
      <c r="L233" s="10"/>
      <c r="N233" s="7"/>
      <c r="O233" s="9"/>
      <c r="P233" s="9"/>
      <c r="Q233" s="7"/>
      <c r="R233" s="7"/>
      <c r="S233" s="7"/>
      <c r="T233" s="7"/>
      <c r="U233" s="8"/>
      <c r="V233" s="7"/>
      <c r="X233" s="7"/>
      <c r="Y233" s="7"/>
      <c r="Z233" s="7"/>
      <c r="AA233" s="7"/>
    </row>
    <row r="234" spans="12:27" ht="16.5">
      <c r="L234" s="10"/>
      <c r="N234" s="7"/>
      <c r="O234" s="9"/>
      <c r="P234" s="9"/>
      <c r="Q234" s="7"/>
      <c r="R234" s="7"/>
      <c r="S234" s="7"/>
      <c r="T234" s="7"/>
      <c r="U234" s="8"/>
      <c r="V234" s="7"/>
      <c r="X234" s="7"/>
      <c r="Y234" s="7"/>
      <c r="Z234" s="7"/>
      <c r="AA234" s="7"/>
    </row>
    <row r="235" spans="12:27" ht="16.5">
      <c r="L235" s="10"/>
      <c r="N235" s="7"/>
      <c r="O235" s="9"/>
      <c r="P235" s="9"/>
      <c r="Q235" s="7"/>
      <c r="R235" s="7"/>
      <c r="S235" s="7"/>
      <c r="T235" s="7"/>
      <c r="U235" s="8"/>
      <c r="V235" s="7"/>
      <c r="X235" s="7"/>
      <c r="Y235" s="7"/>
      <c r="Z235" s="7"/>
      <c r="AA235" s="7"/>
    </row>
    <row r="236" spans="12:27" ht="16.5">
      <c r="L236" s="10"/>
      <c r="N236" s="7"/>
      <c r="O236" s="9"/>
      <c r="P236" s="9"/>
      <c r="Q236" s="7"/>
      <c r="R236" s="7"/>
      <c r="S236" s="7"/>
      <c r="T236" s="7"/>
      <c r="U236" s="8"/>
      <c r="V236" s="7"/>
      <c r="X236" s="7"/>
      <c r="Y236" s="7"/>
      <c r="Z236" s="7"/>
      <c r="AA236" s="7"/>
    </row>
    <row r="237" spans="12:27" ht="16.5">
      <c r="L237" s="10"/>
      <c r="N237" s="7"/>
      <c r="O237" s="9"/>
      <c r="P237" s="9"/>
      <c r="Q237" s="7"/>
      <c r="R237" s="7"/>
      <c r="S237" s="7"/>
      <c r="T237" s="7"/>
      <c r="U237" s="8"/>
      <c r="V237" s="7"/>
      <c r="X237" s="7"/>
      <c r="Y237" s="7"/>
      <c r="Z237" s="7"/>
      <c r="AA237" s="7"/>
    </row>
    <row r="238" spans="12:27" ht="16.5">
      <c r="L238" s="10"/>
      <c r="N238" s="7"/>
      <c r="O238" s="9"/>
      <c r="P238" s="9"/>
      <c r="Q238" s="7"/>
      <c r="R238" s="7"/>
      <c r="S238" s="7"/>
      <c r="T238" s="7"/>
      <c r="U238" s="8"/>
      <c r="V238" s="7"/>
      <c r="X238" s="7"/>
      <c r="Y238" s="7"/>
      <c r="Z238" s="7"/>
      <c r="AA238" s="7"/>
    </row>
    <row r="239" spans="12:27" ht="16.5">
      <c r="L239" s="10"/>
      <c r="N239" s="7"/>
      <c r="O239" s="9"/>
      <c r="P239" s="9"/>
      <c r="Q239" s="7"/>
      <c r="R239" s="7"/>
      <c r="S239" s="7"/>
      <c r="T239" s="7"/>
      <c r="U239" s="8"/>
      <c r="V239" s="7"/>
      <c r="X239" s="7"/>
      <c r="Y239" s="7"/>
      <c r="Z239" s="7"/>
      <c r="AA239" s="7"/>
    </row>
    <row r="240" spans="12:27" ht="16.5">
      <c r="L240" s="10"/>
      <c r="N240" s="7"/>
      <c r="O240" s="9"/>
      <c r="P240" s="9"/>
      <c r="Q240" s="7"/>
      <c r="R240" s="7"/>
      <c r="S240" s="7"/>
      <c r="T240" s="7"/>
      <c r="U240" s="8"/>
      <c r="V240" s="7"/>
      <c r="X240" s="7"/>
      <c r="Y240" s="7"/>
      <c r="Z240" s="7"/>
      <c r="AA240" s="7"/>
    </row>
    <row r="241" spans="12:27" ht="16.5">
      <c r="L241" s="10"/>
      <c r="N241" s="7"/>
      <c r="O241" s="9"/>
      <c r="P241" s="9"/>
      <c r="Q241" s="7"/>
      <c r="R241" s="7"/>
      <c r="S241" s="7"/>
      <c r="T241" s="7"/>
      <c r="U241" s="8"/>
      <c r="V241" s="7"/>
      <c r="X241" s="7"/>
      <c r="Y241" s="7"/>
      <c r="Z241" s="7"/>
      <c r="AA241" s="7"/>
    </row>
    <row r="242" spans="12:27" ht="16.5">
      <c r="L242" s="10"/>
      <c r="N242" s="7"/>
      <c r="O242" s="9"/>
      <c r="P242" s="9"/>
      <c r="Q242" s="7"/>
      <c r="R242" s="7"/>
      <c r="S242" s="7"/>
      <c r="T242" s="7"/>
      <c r="U242" s="8"/>
      <c r="V242" s="7"/>
      <c r="X242" s="7"/>
      <c r="Y242" s="7"/>
      <c r="Z242" s="7"/>
      <c r="AA242" s="7"/>
    </row>
    <row r="243" spans="12:27" ht="16.5">
      <c r="L243" s="10"/>
      <c r="N243" s="7"/>
      <c r="O243" s="9"/>
      <c r="P243" s="9"/>
      <c r="Q243" s="7"/>
      <c r="R243" s="7"/>
      <c r="S243" s="7"/>
      <c r="T243" s="7"/>
      <c r="U243" s="8"/>
      <c r="V243" s="7"/>
      <c r="X243" s="7"/>
      <c r="Y243" s="7"/>
      <c r="Z243" s="7"/>
      <c r="AA243" s="7"/>
    </row>
    <row r="244" spans="12:27" ht="16.5">
      <c r="L244" s="10"/>
      <c r="N244" s="7"/>
      <c r="O244" s="9"/>
      <c r="P244" s="9"/>
      <c r="Q244" s="7"/>
      <c r="R244" s="7"/>
      <c r="S244" s="7"/>
      <c r="T244" s="7"/>
      <c r="U244" s="8"/>
      <c r="V244" s="7"/>
      <c r="X244" s="7"/>
      <c r="Y244" s="7"/>
      <c r="Z244" s="7"/>
      <c r="AA244" s="7"/>
    </row>
    <row r="245" spans="12:27" ht="16.5">
      <c r="L245" s="10"/>
      <c r="N245" s="7"/>
      <c r="O245" s="9"/>
      <c r="P245" s="9"/>
      <c r="Q245" s="7"/>
      <c r="R245" s="7"/>
      <c r="S245" s="7"/>
      <c r="T245" s="7"/>
      <c r="U245" s="8"/>
      <c r="V245" s="7"/>
      <c r="X245" s="7"/>
      <c r="Y245" s="7"/>
      <c r="Z245" s="7"/>
      <c r="AA245" s="7"/>
    </row>
    <row r="246" spans="12:27" ht="16.5">
      <c r="L246" s="10"/>
      <c r="N246" s="7"/>
      <c r="O246" s="9"/>
      <c r="P246" s="9"/>
      <c r="Q246" s="7"/>
      <c r="R246" s="7"/>
      <c r="S246" s="7"/>
      <c r="T246" s="7"/>
      <c r="U246" s="8"/>
      <c r="V246" s="7"/>
      <c r="X246" s="7"/>
      <c r="Y246" s="7"/>
      <c r="Z246" s="7"/>
      <c r="AA246" s="7"/>
    </row>
    <row r="247" spans="12:27" ht="16.5">
      <c r="L247" s="10"/>
      <c r="N247" s="7"/>
      <c r="O247" s="9"/>
      <c r="P247" s="9"/>
      <c r="Q247" s="7"/>
      <c r="R247" s="7"/>
      <c r="S247" s="7"/>
      <c r="T247" s="7"/>
      <c r="U247" s="8"/>
      <c r="V247" s="7"/>
      <c r="X247" s="7"/>
      <c r="Y247" s="7"/>
      <c r="Z247" s="7"/>
      <c r="AA247" s="7"/>
    </row>
    <row r="248" spans="12:27" ht="16.5">
      <c r="L248" s="10"/>
      <c r="N248" s="7"/>
      <c r="O248" s="9"/>
      <c r="P248" s="9"/>
      <c r="Q248" s="7"/>
      <c r="R248" s="7"/>
      <c r="S248" s="7"/>
      <c r="T248" s="7"/>
      <c r="U248" s="8"/>
      <c r="V248" s="7"/>
      <c r="X248" s="7"/>
      <c r="Y248" s="7"/>
      <c r="Z248" s="7"/>
      <c r="AA248" s="7"/>
    </row>
    <row r="249" spans="12:27" ht="16.5">
      <c r="L249" s="10"/>
      <c r="N249" s="7"/>
      <c r="O249" s="9"/>
      <c r="P249" s="9"/>
      <c r="Q249" s="7"/>
      <c r="R249" s="7"/>
      <c r="S249" s="7"/>
      <c r="T249" s="7"/>
      <c r="U249" s="8"/>
      <c r="V249" s="7"/>
      <c r="X249" s="7"/>
      <c r="Y249" s="7"/>
      <c r="Z249" s="7"/>
      <c r="AA249" s="7"/>
    </row>
    <row r="250" spans="12:27" ht="16.5">
      <c r="L250" s="10"/>
      <c r="N250" s="7"/>
      <c r="O250" s="9"/>
      <c r="P250" s="9"/>
      <c r="Q250" s="7"/>
      <c r="R250" s="7"/>
      <c r="S250" s="7"/>
      <c r="T250" s="7"/>
      <c r="U250" s="8"/>
      <c r="V250" s="7"/>
      <c r="X250" s="7"/>
      <c r="Y250" s="7"/>
      <c r="Z250" s="7"/>
      <c r="AA250" s="7"/>
    </row>
    <row r="251" spans="12:27" ht="16.5">
      <c r="L251" s="10"/>
      <c r="N251" s="7"/>
      <c r="O251" s="9"/>
      <c r="P251" s="9"/>
      <c r="Q251" s="7"/>
      <c r="R251" s="7"/>
      <c r="S251" s="7"/>
      <c r="T251" s="7"/>
      <c r="U251" s="8"/>
      <c r="V251" s="7"/>
      <c r="X251" s="7"/>
      <c r="Y251" s="7"/>
      <c r="Z251" s="7"/>
      <c r="AA251" s="7"/>
    </row>
    <row r="252" spans="12:27" ht="16.5">
      <c r="L252" s="10"/>
      <c r="N252" s="7"/>
      <c r="O252" s="9"/>
      <c r="P252" s="9"/>
      <c r="Q252" s="7"/>
      <c r="R252" s="7"/>
      <c r="S252" s="7"/>
      <c r="T252" s="7"/>
      <c r="U252" s="8"/>
      <c r="V252" s="7"/>
      <c r="X252" s="7"/>
      <c r="Y252" s="7"/>
      <c r="Z252" s="7"/>
      <c r="AA252" s="7"/>
    </row>
    <row r="253" spans="12:27" ht="16.5">
      <c r="L253" s="10"/>
      <c r="N253" s="7"/>
      <c r="O253" s="9"/>
      <c r="P253" s="9"/>
      <c r="Q253" s="7"/>
      <c r="R253" s="7"/>
      <c r="S253" s="7"/>
      <c r="T253" s="7"/>
      <c r="U253" s="8"/>
      <c r="V253" s="7"/>
      <c r="X253" s="7"/>
      <c r="Y253" s="7"/>
      <c r="Z253" s="7"/>
      <c r="AA253" s="7"/>
    </row>
    <row r="254" spans="12:27" ht="16.5">
      <c r="L254" s="10"/>
      <c r="N254" s="7"/>
      <c r="O254" s="9"/>
      <c r="P254" s="9"/>
      <c r="Q254" s="7"/>
      <c r="R254" s="7"/>
      <c r="S254" s="7"/>
      <c r="T254" s="7"/>
      <c r="U254" s="8"/>
      <c r="V254" s="7"/>
      <c r="X254" s="7"/>
      <c r="Y254" s="7"/>
      <c r="Z254" s="7"/>
      <c r="AA254" s="7"/>
    </row>
    <row r="255" spans="12:27" ht="16.5">
      <c r="L255" s="10"/>
      <c r="N255" s="7"/>
      <c r="O255" s="9"/>
      <c r="P255" s="9"/>
      <c r="Q255" s="7"/>
      <c r="R255" s="7"/>
      <c r="S255" s="7"/>
      <c r="T255" s="7"/>
      <c r="U255" s="8"/>
      <c r="V255" s="7"/>
      <c r="X255" s="7"/>
      <c r="Y255" s="7"/>
      <c r="Z255" s="7"/>
      <c r="AA255" s="7"/>
    </row>
    <row r="256" spans="12:27" ht="16.5">
      <c r="L256" s="10"/>
      <c r="N256" s="7"/>
      <c r="O256" s="9"/>
      <c r="P256" s="9"/>
      <c r="Q256" s="7"/>
      <c r="R256" s="7"/>
      <c r="S256" s="7"/>
      <c r="T256" s="7"/>
      <c r="U256" s="8"/>
      <c r="V256" s="7"/>
      <c r="X256" s="7"/>
      <c r="Y256" s="7"/>
      <c r="Z256" s="7"/>
      <c r="AA256" s="7"/>
    </row>
    <row r="257" spans="12:27" ht="16.5">
      <c r="L257" s="10"/>
      <c r="N257" s="7"/>
      <c r="O257" s="9"/>
      <c r="P257" s="9"/>
      <c r="Q257" s="7"/>
      <c r="R257" s="7"/>
      <c r="S257" s="7"/>
      <c r="T257" s="7"/>
      <c r="U257" s="8"/>
      <c r="V257" s="7"/>
      <c r="X257" s="7"/>
      <c r="Y257" s="7"/>
      <c r="Z257" s="7"/>
      <c r="AA257" s="7"/>
    </row>
    <row r="258" spans="12:27" ht="16.5">
      <c r="L258" s="10"/>
      <c r="N258" s="7"/>
      <c r="O258" s="9"/>
      <c r="P258" s="9"/>
      <c r="Q258" s="7"/>
      <c r="R258" s="7"/>
      <c r="S258" s="7"/>
      <c r="T258" s="7"/>
      <c r="U258" s="8"/>
      <c r="V258" s="7"/>
      <c r="X258" s="7"/>
      <c r="Y258" s="7"/>
      <c r="Z258" s="7"/>
      <c r="AA258" s="7"/>
    </row>
    <row r="259" spans="12:27" ht="16.5">
      <c r="L259" s="10"/>
      <c r="N259" s="7"/>
      <c r="O259" s="9"/>
      <c r="P259" s="9"/>
      <c r="Q259" s="7"/>
      <c r="R259" s="7"/>
      <c r="S259" s="7"/>
      <c r="T259" s="7"/>
      <c r="U259" s="8"/>
      <c r="V259" s="7"/>
      <c r="X259" s="7"/>
      <c r="Y259" s="7"/>
      <c r="Z259" s="7"/>
      <c r="AA259" s="7"/>
    </row>
    <row r="260" spans="12:27" ht="16.5">
      <c r="L260" s="10"/>
      <c r="N260" s="7"/>
      <c r="O260" s="9"/>
      <c r="P260" s="9"/>
      <c r="Q260" s="7"/>
      <c r="R260" s="7"/>
      <c r="S260" s="7"/>
      <c r="T260" s="7"/>
      <c r="U260" s="8"/>
      <c r="V260" s="7"/>
      <c r="X260" s="7"/>
      <c r="Y260" s="7"/>
      <c r="Z260" s="7"/>
      <c r="AA260" s="7"/>
    </row>
    <row r="261" spans="12:27" ht="16.5">
      <c r="L261" s="10"/>
      <c r="N261" s="7"/>
      <c r="O261" s="9"/>
      <c r="P261" s="9"/>
      <c r="Q261" s="7"/>
      <c r="R261" s="7"/>
      <c r="S261" s="7"/>
      <c r="T261" s="7"/>
      <c r="U261" s="8"/>
      <c r="V261" s="7"/>
      <c r="X261" s="7"/>
      <c r="Y261" s="7"/>
      <c r="Z261" s="7"/>
      <c r="AA261" s="7"/>
    </row>
    <row r="262" spans="12:27" ht="16.5">
      <c r="L262" s="10"/>
      <c r="N262" s="7"/>
      <c r="O262" s="9"/>
      <c r="P262" s="9"/>
      <c r="Q262" s="7"/>
      <c r="R262" s="7"/>
      <c r="S262" s="7"/>
      <c r="T262" s="7"/>
      <c r="U262" s="8"/>
      <c r="V262" s="7"/>
      <c r="X262" s="7"/>
      <c r="Y262" s="7"/>
      <c r="Z262" s="7"/>
      <c r="AA262" s="7"/>
    </row>
    <row r="263" spans="12:27" ht="16.5">
      <c r="L263" s="10"/>
      <c r="N263" s="7"/>
      <c r="O263" s="9"/>
      <c r="P263" s="9"/>
      <c r="Q263" s="7"/>
      <c r="R263" s="7"/>
      <c r="S263" s="7"/>
      <c r="T263" s="7"/>
      <c r="U263" s="8"/>
      <c r="V263" s="7"/>
      <c r="X263" s="7"/>
      <c r="Y263" s="7"/>
      <c r="Z263" s="7"/>
      <c r="AA263" s="7"/>
    </row>
    <row r="264" spans="12:27" ht="16.5">
      <c r="L264" s="10"/>
      <c r="N264" s="7"/>
      <c r="O264" s="9"/>
      <c r="P264" s="9"/>
      <c r="Q264" s="7"/>
      <c r="R264" s="7"/>
      <c r="S264" s="7"/>
      <c r="T264" s="7"/>
      <c r="U264" s="8"/>
      <c r="V264" s="7"/>
      <c r="X264" s="7"/>
      <c r="Y264" s="7"/>
      <c r="Z264" s="7"/>
      <c r="AA264" s="7"/>
    </row>
    <row r="265" spans="12:27" ht="16.5">
      <c r="L265" s="10"/>
      <c r="N265" s="7"/>
      <c r="O265" s="9"/>
      <c r="P265" s="9"/>
      <c r="Q265" s="7"/>
      <c r="R265" s="7"/>
      <c r="S265" s="7"/>
      <c r="T265" s="7"/>
      <c r="U265" s="8"/>
      <c r="V265" s="7"/>
      <c r="X265" s="7"/>
      <c r="Y265" s="7"/>
      <c r="Z265" s="7"/>
      <c r="AA265" s="7"/>
    </row>
    <row r="266" spans="12:27" ht="16.5">
      <c r="L266" s="10"/>
      <c r="N266" s="7"/>
      <c r="O266" s="9"/>
      <c r="P266" s="9"/>
      <c r="Q266" s="7"/>
      <c r="R266" s="7"/>
      <c r="S266" s="7"/>
      <c r="T266" s="7"/>
      <c r="U266" s="8"/>
      <c r="V266" s="7"/>
      <c r="X266" s="7"/>
      <c r="Y266" s="7"/>
      <c r="Z266" s="7"/>
      <c r="AA266" s="7"/>
    </row>
    <row r="267" spans="12:27" ht="16.5">
      <c r="L267" s="10"/>
      <c r="N267" s="7"/>
      <c r="O267" s="9"/>
      <c r="P267" s="9"/>
      <c r="Q267" s="7"/>
      <c r="R267" s="7"/>
      <c r="S267" s="7"/>
      <c r="T267" s="7"/>
      <c r="U267" s="8"/>
      <c r="V267" s="7"/>
      <c r="X267" s="7"/>
      <c r="Y267" s="7"/>
      <c r="Z267" s="7"/>
      <c r="AA267" s="7"/>
    </row>
    <row r="268" spans="12:27" ht="16.5">
      <c r="L268" s="10"/>
      <c r="N268" s="7"/>
      <c r="O268" s="9"/>
      <c r="P268" s="9"/>
      <c r="Q268" s="7"/>
      <c r="R268" s="7"/>
      <c r="S268" s="7"/>
      <c r="T268" s="7"/>
      <c r="U268" s="8"/>
      <c r="V268" s="7"/>
      <c r="X268" s="7"/>
      <c r="Y268" s="7"/>
      <c r="Z268" s="7"/>
      <c r="AA268" s="7"/>
    </row>
    <row r="269" spans="12:27" ht="16.5">
      <c r="L269" s="10"/>
      <c r="N269" s="7"/>
      <c r="O269" s="9"/>
      <c r="P269" s="9"/>
      <c r="Q269" s="7"/>
      <c r="R269" s="7"/>
      <c r="S269" s="7"/>
      <c r="T269" s="7"/>
      <c r="U269" s="8"/>
      <c r="V269" s="7"/>
      <c r="X269" s="7"/>
      <c r="Y269" s="7"/>
      <c r="Z269" s="7"/>
      <c r="AA269" s="7"/>
    </row>
    <row r="270" spans="12:27" ht="16.5">
      <c r="L270" s="10"/>
      <c r="N270" s="7"/>
      <c r="O270" s="9"/>
      <c r="P270" s="9"/>
      <c r="Q270" s="7"/>
      <c r="R270" s="7"/>
      <c r="S270" s="7"/>
      <c r="T270" s="7"/>
      <c r="U270" s="8"/>
      <c r="V270" s="7"/>
      <c r="X270" s="7"/>
      <c r="Y270" s="7"/>
      <c r="Z270" s="7"/>
      <c r="AA270" s="7"/>
    </row>
    <row r="271" spans="12:27" ht="16.5">
      <c r="L271" s="10"/>
      <c r="N271" s="7"/>
      <c r="O271" s="9"/>
      <c r="P271" s="9"/>
      <c r="Q271" s="7"/>
      <c r="R271" s="7"/>
      <c r="S271" s="7"/>
      <c r="T271" s="7"/>
      <c r="U271" s="8"/>
      <c r="V271" s="7"/>
      <c r="X271" s="7"/>
      <c r="Y271" s="7"/>
      <c r="Z271" s="7"/>
      <c r="AA271" s="7"/>
    </row>
    <row r="272" spans="12:27" ht="16.5">
      <c r="L272" s="10"/>
      <c r="N272" s="7"/>
      <c r="O272" s="9"/>
      <c r="P272" s="9"/>
      <c r="Q272" s="7"/>
      <c r="R272" s="7"/>
      <c r="S272" s="7"/>
      <c r="T272" s="7"/>
      <c r="U272" s="8"/>
      <c r="V272" s="7"/>
      <c r="X272" s="7"/>
      <c r="Y272" s="7"/>
      <c r="Z272" s="7"/>
      <c r="AA272" s="7"/>
    </row>
    <row r="273" spans="12:27" ht="16.5">
      <c r="L273" s="10"/>
      <c r="N273" s="7"/>
      <c r="O273" s="9"/>
      <c r="P273" s="9"/>
      <c r="Q273" s="7"/>
      <c r="R273" s="7"/>
      <c r="S273" s="7"/>
      <c r="T273" s="7"/>
      <c r="U273" s="8"/>
      <c r="V273" s="7"/>
      <c r="X273" s="7"/>
      <c r="Y273" s="7"/>
      <c r="Z273" s="7"/>
      <c r="AA273" s="7"/>
    </row>
    <row r="274" spans="14:27" ht="16.5">
      <c r="N274" s="7"/>
      <c r="O274" s="9"/>
      <c r="P274" s="9"/>
      <c r="Q274" s="7"/>
      <c r="R274" s="7"/>
      <c r="S274" s="7"/>
      <c r="T274" s="7"/>
      <c r="U274" s="8"/>
      <c r="V274" s="7"/>
      <c r="X274" s="7"/>
      <c r="Y274" s="7"/>
      <c r="Z274" s="7"/>
      <c r="AA274" s="7"/>
    </row>
    <row r="275" spans="14:27" ht="16.5">
      <c r="N275" s="7"/>
      <c r="O275" s="9"/>
      <c r="P275" s="9"/>
      <c r="Q275" s="7"/>
      <c r="R275" s="7"/>
      <c r="S275" s="7"/>
      <c r="T275" s="7"/>
      <c r="U275" s="8"/>
      <c r="V275" s="7"/>
      <c r="X275" s="7"/>
      <c r="Y275" s="7"/>
      <c r="Z275" s="7"/>
      <c r="AA275" s="7"/>
    </row>
    <row r="276" spans="14:27" ht="16.5">
      <c r="N276" s="7"/>
      <c r="O276" s="9"/>
      <c r="P276" s="9"/>
      <c r="Q276" s="7"/>
      <c r="R276" s="7"/>
      <c r="S276" s="7"/>
      <c r="T276" s="7"/>
      <c r="U276" s="8"/>
      <c r="V276" s="7"/>
      <c r="X276" s="7"/>
      <c r="Y276" s="7"/>
      <c r="Z276" s="7"/>
      <c r="AA276" s="7"/>
    </row>
    <row r="277" spans="14:27" ht="16.5">
      <c r="N277" s="7"/>
      <c r="O277" s="9"/>
      <c r="P277" s="9"/>
      <c r="Q277" s="7"/>
      <c r="R277" s="7"/>
      <c r="S277" s="7"/>
      <c r="T277" s="7"/>
      <c r="U277" s="8"/>
      <c r="V277" s="7"/>
      <c r="X277" s="7"/>
      <c r="Y277" s="7"/>
      <c r="Z277" s="7"/>
      <c r="AA277" s="7"/>
    </row>
    <row r="278" spans="14:27" ht="16.5">
      <c r="N278" s="7"/>
      <c r="O278" s="9"/>
      <c r="P278" s="9"/>
      <c r="Q278" s="7"/>
      <c r="R278" s="7"/>
      <c r="S278" s="7"/>
      <c r="T278" s="7"/>
      <c r="U278" s="8"/>
      <c r="V278" s="7"/>
      <c r="X278" s="7"/>
      <c r="Y278" s="7"/>
      <c r="Z278" s="7"/>
      <c r="AA278" s="7"/>
    </row>
    <row r="279" spans="14:27" ht="16.5">
      <c r="N279" s="7"/>
      <c r="O279" s="9"/>
      <c r="P279" s="9"/>
      <c r="Q279" s="7"/>
      <c r="R279" s="7"/>
      <c r="S279" s="7"/>
      <c r="T279" s="7"/>
      <c r="U279" s="8"/>
      <c r="V279" s="7"/>
      <c r="X279" s="7"/>
      <c r="Y279" s="7"/>
      <c r="Z279" s="7"/>
      <c r="AA279" s="7"/>
    </row>
    <row r="280" spans="14:27" ht="16.5">
      <c r="N280" s="7"/>
      <c r="O280" s="9"/>
      <c r="P280" s="9"/>
      <c r="Q280" s="7"/>
      <c r="R280" s="7"/>
      <c r="S280" s="7"/>
      <c r="T280" s="7"/>
      <c r="U280" s="8"/>
      <c r="V280" s="7"/>
      <c r="X280" s="7"/>
      <c r="Y280" s="7"/>
      <c r="Z280" s="7"/>
      <c r="AA280" s="7"/>
    </row>
    <row r="281" spans="1:27" ht="16.5">
      <c r="A281" s="1"/>
      <c r="L281" s="1"/>
      <c r="M281" s="54"/>
      <c r="N281" s="7"/>
      <c r="O281" s="9"/>
      <c r="P281" s="9"/>
      <c r="Q281" s="7"/>
      <c r="R281" s="7"/>
      <c r="S281" s="7"/>
      <c r="T281" s="7"/>
      <c r="U281" s="8"/>
      <c r="V281" s="7"/>
      <c r="X281" s="7"/>
      <c r="Y281" s="7"/>
      <c r="Z281" s="7"/>
      <c r="AA281" s="7"/>
    </row>
    <row r="282" spans="1:27" ht="16.5">
      <c r="A282" s="1"/>
      <c r="L282" s="1"/>
      <c r="M282" s="54"/>
      <c r="N282" s="7"/>
      <c r="O282" s="9"/>
      <c r="P282" s="9"/>
      <c r="Q282" s="7"/>
      <c r="R282" s="7"/>
      <c r="S282" s="7"/>
      <c r="T282" s="7"/>
      <c r="U282" s="8"/>
      <c r="V282" s="7"/>
      <c r="X282" s="7"/>
      <c r="Y282" s="7"/>
      <c r="Z282" s="7"/>
      <c r="AA282" s="7"/>
    </row>
    <row r="283" spans="1:27" ht="16.5">
      <c r="A283" s="1"/>
      <c r="L283" s="1"/>
      <c r="M283" s="54"/>
      <c r="N283" s="7"/>
      <c r="O283" s="9"/>
      <c r="P283" s="9"/>
      <c r="Q283" s="7"/>
      <c r="R283" s="7"/>
      <c r="S283" s="7"/>
      <c r="T283" s="7"/>
      <c r="U283" s="8"/>
      <c r="V283" s="7"/>
      <c r="X283" s="7"/>
      <c r="Y283" s="7"/>
      <c r="Z283" s="7"/>
      <c r="AA283" s="7"/>
    </row>
    <row r="284" spans="1:27" ht="16.5">
      <c r="A284" s="1"/>
      <c r="L284" s="1"/>
      <c r="M284" s="54"/>
      <c r="N284" s="7"/>
      <c r="O284" s="9"/>
      <c r="P284" s="9"/>
      <c r="Q284" s="7"/>
      <c r="R284" s="7"/>
      <c r="S284" s="7"/>
      <c r="T284" s="7"/>
      <c r="U284" s="8"/>
      <c r="V284" s="7"/>
      <c r="X284" s="7"/>
      <c r="Y284" s="7"/>
      <c r="Z284" s="7"/>
      <c r="AA284" s="7"/>
    </row>
    <row r="285" spans="1:27" ht="16.5">
      <c r="A285" s="1"/>
      <c r="L285" s="1"/>
      <c r="M285" s="54"/>
      <c r="N285" s="7"/>
      <c r="O285" s="9"/>
      <c r="P285" s="9"/>
      <c r="Q285" s="7"/>
      <c r="R285" s="7"/>
      <c r="S285" s="7"/>
      <c r="T285" s="7"/>
      <c r="U285" s="8"/>
      <c r="V285" s="7"/>
      <c r="X285" s="7"/>
      <c r="Y285" s="7"/>
      <c r="Z285" s="7"/>
      <c r="AA285" s="7"/>
    </row>
    <row r="286" spans="1:27" ht="16.5">
      <c r="A286" s="1"/>
      <c r="L286" s="1"/>
      <c r="M286" s="54"/>
      <c r="N286" s="7"/>
      <c r="O286" s="9"/>
      <c r="P286" s="9"/>
      <c r="Q286" s="7"/>
      <c r="R286" s="7"/>
      <c r="S286" s="7"/>
      <c r="T286" s="7"/>
      <c r="U286" s="8"/>
      <c r="V286" s="7"/>
      <c r="X286" s="7"/>
      <c r="Y286" s="7"/>
      <c r="Z286" s="7"/>
      <c r="AA286" s="7"/>
    </row>
    <row r="287" spans="1:27" ht="16.5">
      <c r="A287" s="1"/>
      <c r="L287" s="1"/>
      <c r="M287" s="54"/>
      <c r="N287" s="7"/>
      <c r="O287" s="9"/>
      <c r="P287" s="9"/>
      <c r="Q287" s="7"/>
      <c r="R287" s="7"/>
      <c r="S287" s="7"/>
      <c r="T287" s="7"/>
      <c r="U287" s="8"/>
      <c r="V287" s="7"/>
      <c r="X287" s="7"/>
      <c r="Y287" s="7"/>
      <c r="Z287" s="7"/>
      <c r="AA287" s="7"/>
    </row>
    <row r="288" spans="1:27" ht="16.5">
      <c r="A288" s="1"/>
      <c r="L288" s="1"/>
      <c r="M288" s="54"/>
      <c r="N288" s="7"/>
      <c r="O288" s="9"/>
      <c r="P288" s="9"/>
      <c r="Q288" s="7"/>
      <c r="R288" s="7"/>
      <c r="S288" s="7"/>
      <c r="T288" s="7"/>
      <c r="U288" s="8"/>
      <c r="V288" s="7"/>
      <c r="X288" s="7"/>
      <c r="Y288" s="7"/>
      <c r="Z288" s="7"/>
      <c r="AA288" s="7"/>
    </row>
    <row r="289" spans="1:27" ht="16.5">
      <c r="A289" s="1"/>
      <c r="L289" s="1"/>
      <c r="M289" s="54"/>
      <c r="N289" s="7"/>
      <c r="O289" s="9"/>
      <c r="P289" s="9"/>
      <c r="Q289" s="7"/>
      <c r="R289" s="7"/>
      <c r="S289" s="7"/>
      <c r="T289" s="7"/>
      <c r="U289" s="8"/>
      <c r="V289" s="7"/>
      <c r="X289" s="7"/>
      <c r="Y289" s="7"/>
      <c r="Z289" s="7"/>
      <c r="AA289" s="7"/>
    </row>
    <row r="290" spans="1:27" ht="16.5">
      <c r="A290" s="1"/>
      <c r="L290" s="1"/>
      <c r="M290" s="54"/>
      <c r="N290" s="7"/>
      <c r="O290" s="9"/>
      <c r="P290" s="9"/>
      <c r="Q290" s="7"/>
      <c r="R290" s="7"/>
      <c r="S290" s="7"/>
      <c r="T290" s="7"/>
      <c r="U290" s="8"/>
      <c r="V290" s="7"/>
      <c r="X290" s="7"/>
      <c r="Y290" s="7"/>
      <c r="Z290" s="7"/>
      <c r="AA290" s="7"/>
    </row>
    <row r="291" spans="1:27" ht="16.5">
      <c r="A291" s="1"/>
      <c r="L291" s="1"/>
      <c r="M291" s="54"/>
      <c r="N291" s="7"/>
      <c r="O291" s="9"/>
      <c r="P291" s="9"/>
      <c r="Q291" s="7"/>
      <c r="R291" s="7"/>
      <c r="S291" s="7"/>
      <c r="T291" s="7"/>
      <c r="U291" s="8"/>
      <c r="V291" s="7"/>
      <c r="X291" s="7"/>
      <c r="Y291" s="7"/>
      <c r="Z291" s="7"/>
      <c r="AA291" s="7"/>
    </row>
    <row r="292" spans="1:27" ht="16.5">
      <c r="A292" s="1"/>
      <c r="L292" s="1"/>
      <c r="M292" s="54"/>
      <c r="N292" s="7"/>
      <c r="O292" s="9"/>
      <c r="P292" s="9"/>
      <c r="Q292" s="7"/>
      <c r="R292" s="7"/>
      <c r="S292" s="7"/>
      <c r="T292" s="7"/>
      <c r="U292" s="8"/>
      <c r="V292" s="7"/>
      <c r="X292" s="7"/>
      <c r="Y292" s="7"/>
      <c r="Z292" s="7"/>
      <c r="AA292" s="7"/>
    </row>
    <row r="293" spans="1:27" ht="16.5">
      <c r="A293" s="1"/>
      <c r="L293" s="1"/>
      <c r="M293" s="54"/>
      <c r="N293" s="7"/>
      <c r="O293" s="9"/>
      <c r="P293" s="9"/>
      <c r="Q293" s="7"/>
      <c r="R293" s="7"/>
      <c r="S293" s="7"/>
      <c r="T293" s="7"/>
      <c r="U293" s="8"/>
      <c r="V293" s="7"/>
      <c r="X293" s="7"/>
      <c r="Y293" s="7"/>
      <c r="Z293" s="7"/>
      <c r="AA293" s="7"/>
    </row>
    <row r="294" spans="1:27" ht="16.5">
      <c r="A294" s="1"/>
      <c r="L294" s="1"/>
      <c r="M294" s="54"/>
      <c r="N294" s="7"/>
      <c r="O294" s="9"/>
      <c r="P294" s="9"/>
      <c r="Q294" s="7"/>
      <c r="R294" s="7"/>
      <c r="S294" s="7"/>
      <c r="T294" s="7"/>
      <c r="U294" s="8"/>
      <c r="V294" s="7"/>
      <c r="X294" s="7"/>
      <c r="Y294" s="7"/>
      <c r="Z294" s="7"/>
      <c r="AA294" s="7"/>
    </row>
    <row r="295" spans="1:27" ht="16.5">
      <c r="A295" s="1"/>
      <c r="L295" s="1"/>
      <c r="M295" s="54"/>
      <c r="N295" s="7"/>
      <c r="O295" s="9"/>
      <c r="P295" s="9"/>
      <c r="Q295" s="7"/>
      <c r="R295" s="7"/>
      <c r="S295" s="7"/>
      <c r="T295" s="7"/>
      <c r="U295" s="8"/>
      <c r="V295" s="7"/>
      <c r="X295" s="7"/>
      <c r="Y295" s="7"/>
      <c r="Z295" s="7"/>
      <c r="AA295" s="7"/>
    </row>
    <row r="296" spans="1:27" ht="16.5">
      <c r="A296" s="1"/>
      <c r="L296" s="1"/>
      <c r="M296" s="54"/>
      <c r="N296" s="7"/>
      <c r="O296" s="9"/>
      <c r="P296" s="9"/>
      <c r="Q296" s="7"/>
      <c r="R296" s="7"/>
      <c r="S296" s="7"/>
      <c r="T296" s="7"/>
      <c r="U296" s="8"/>
      <c r="V296" s="7"/>
      <c r="X296" s="7"/>
      <c r="Y296" s="7"/>
      <c r="Z296" s="7"/>
      <c r="AA296" s="7"/>
    </row>
    <row r="297" spans="1:27" ht="16.5">
      <c r="A297" s="1"/>
      <c r="L297" s="1"/>
      <c r="M297" s="54"/>
      <c r="N297" s="7"/>
      <c r="O297" s="9"/>
      <c r="P297" s="9"/>
      <c r="Q297" s="7"/>
      <c r="R297" s="7"/>
      <c r="S297" s="7"/>
      <c r="T297" s="7"/>
      <c r="U297" s="8"/>
      <c r="V297" s="7"/>
      <c r="X297" s="7"/>
      <c r="Y297" s="7"/>
      <c r="Z297" s="7"/>
      <c r="AA297" s="7"/>
    </row>
    <row r="298" spans="1:27" ht="16.5">
      <c r="A298" s="1"/>
      <c r="L298" s="1"/>
      <c r="M298" s="54"/>
      <c r="N298" s="7"/>
      <c r="O298" s="9"/>
      <c r="P298" s="9"/>
      <c r="Q298" s="7"/>
      <c r="R298" s="7"/>
      <c r="S298" s="7"/>
      <c r="T298" s="7"/>
      <c r="U298" s="8"/>
      <c r="V298" s="7"/>
      <c r="X298" s="7"/>
      <c r="Y298" s="7"/>
      <c r="Z298" s="7"/>
      <c r="AA298" s="7"/>
    </row>
    <row r="299" spans="1:27" ht="16.5">
      <c r="A299" s="1"/>
      <c r="L299" s="1"/>
      <c r="M299" s="54"/>
      <c r="N299" s="7"/>
      <c r="O299" s="9"/>
      <c r="P299" s="9"/>
      <c r="Q299" s="7"/>
      <c r="R299" s="7"/>
      <c r="S299" s="7"/>
      <c r="T299" s="7"/>
      <c r="U299" s="8"/>
      <c r="V299" s="7"/>
      <c r="X299" s="7"/>
      <c r="Y299" s="7"/>
      <c r="Z299" s="7"/>
      <c r="AA299" s="7"/>
    </row>
    <row r="300" spans="1:27" ht="16.5">
      <c r="A300" s="1"/>
      <c r="L300" s="1"/>
      <c r="M300" s="54"/>
      <c r="N300" s="7"/>
      <c r="O300" s="9"/>
      <c r="P300" s="9"/>
      <c r="Q300" s="7"/>
      <c r="R300" s="7"/>
      <c r="S300" s="7"/>
      <c r="T300" s="7"/>
      <c r="U300" s="8"/>
      <c r="V300" s="7"/>
      <c r="X300" s="7"/>
      <c r="Y300" s="7"/>
      <c r="Z300" s="7"/>
      <c r="AA300" s="7"/>
    </row>
    <row r="301" spans="1:27" ht="16.5">
      <c r="A301" s="1"/>
      <c r="L301" s="1"/>
      <c r="M301" s="54"/>
      <c r="N301" s="7"/>
      <c r="O301" s="9"/>
      <c r="P301" s="9"/>
      <c r="Q301" s="7"/>
      <c r="R301" s="7"/>
      <c r="S301" s="7"/>
      <c r="T301" s="7"/>
      <c r="U301" s="8"/>
      <c r="V301" s="7"/>
      <c r="X301" s="7"/>
      <c r="Y301" s="7"/>
      <c r="Z301" s="7"/>
      <c r="AA301" s="7"/>
    </row>
    <row r="302" spans="1:27" ht="16.5">
      <c r="A302" s="1"/>
      <c r="L302" s="1"/>
      <c r="M302" s="54"/>
      <c r="N302" s="7"/>
      <c r="O302" s="9"/>
      <c r="P302" s="9"/>
      <c r="Q302" s="7"/>
      <c r="R302" s="7"/>
      <c r="S302" s="7"/>
      <c r="T302" s="7"/>
      <c r="U302" s="8"/>
      <c r="V302" s="7"/>
      <c r="X302" s="7"/>
      <c r="Y302" s="7"/>
      <c r="Z302" s="7"/>
      <c r="AA302" s="7"/>
    </row>
    <row r="303" spans="1:27" ht="16.5">
      <c r="A303" s="1"/>
      <c r="L303" s="1"/>
      <c r="M303" s="54"/>
      <c r="N303" s="7"/>
      <c r="O303" s="9"/>
      <c r="P303" s="9"/>
      <c r="Q303" s="7"/>
      <c r="R303" s="7"/>
      <c r="S303" s="7"/>
      <c r="T303" s="7"/>
      <c r="U303" s="8"/>
      <c r="V303" s="7"/>
      <c r="X303" s="7"/>
      <c r="Y303" s="7"/>
      <c r="Z303" s="7"/>
      <c r="AA303" s="7"/>
    </row>
    <row r="304" spans="1:27" ht="16.5">
      <c r="A304" s="1"/>
      <c r="L304" s="1"/>
      <c r="M304" s="54"/>
      <c r="N304" s="7"/>
      <c r="O304" s="9"/>
      <c r="P304" s="9"/>
      <c r="Q304" s="7"/>
      <c r="R304" s="7"/>
      <c r="S304" s="7"/>
      <c r="T304" s="7"/>
      <c r="U304" s="8"/>
      <c r="V304" s="7"/>
      <c r="X304" s="7"/>
      <c r="Y304" s="7"/>
      <c r="Z304" s="7"/>
      <c r="AA304" s="7"/>
    </row>
    <row r="305" spans="1:27" ht="16.5">
      <c r="A305" s="1"/>
      <c r="L305" s="1"/>
      <c r="M305" s="54"/>
      <c r="N305" s="7"/>
      <c r="O305" s="9"/>
      <c r="P305" s="9"/>
      <c r="Q305" s="7"/>
      <c r="R305" s="7"/>
      <c r="S305" s="7"/>
      <c r="T305" s="7"/>
      <c r="U305" s="8"/>
      <c r="V305" s="7"/>
      <c r="X305" s="7"/>
      <c r="Y305" s="7"/>
      <c r="Z305" s="7"/>
      <c r="AA305" s="7"/>
    </row>
    <row r="306" spans="1:27" ht="16.5">
      <c r="A306" s="1"/>
      <c r="L306" s="1"/>
      <c r="M306" s="54"/>
      <c r="N306" s="7"/>
      <c r="O306" s="9"/>
      <c r="P306" s="9"/>
      <c r="Q306" s="7"/>
      <c r="R306" s="7"/>
      <c r="S306" s="7"/>
      <c r="T306" s="7"/>
      <c r="U306" s="8"/>
      <c r="V306" s="7"/>
      <c r="X306" s="7"/>
      <c r="Y306" s="7"/>
      <c r="Z306" s="7"/>
      <c r="AA306" s="7"/>
    </row>
    <row r="307" spans="1:27" ht="16.5">
      <c r="A307" s="1"/>
      <c r="L307" s="1"/>
      <c r="M307" s="54"/>
      <c r="N307" s="7"/>
      <c r="O307" s="9"/>
      <c r="P307" s="9"/>
      <c r="Q307" s="7"/>
      <c r="R307" s="7"/>
      <c r="S307" s="7"/>
      <c r="T307" s="7"/>
      <c r="U307" s="8"/>
      <c r="V307" s="7"/>
      <c r="X307" s="7"/>
      <c r="Y307" s="7"/>
      <c r="Z307" s="7"/>
      <c r="AA307" s="7"/>
    </row>
    <row r="308" spans="1:27" ht="16.5">
      <c r="A308" s="1"/>
      <c r="L308" s="1"/>
      <c r="M308" s="54"/>
      <c r="N308" s="7"/>
      <c r="O308" s="9"/>
      <c r="P308" s="9"/>
      <c r="Q308" s="7"/>
      <c r="R308" s="7"/>
      <c r="S308" s="7"/>
      <c r="T308" s="7"/>
      <c r="U308" s="8"/>
      <c r="V308" s="7"/>
      <c r="X308" s="7"/>
      <c r="Y308" s="7"/>
      <c r="Z308" s="7"/>
      <c r="AA308" s="7"/>
    </row>
    <row r="309" spans="1:27" ht="16.5">
      <c r="A309" s="1"/>
      <c r="L309" s="1"/>
      <c r="M309" s="54"/>
      <c r="N309" s="7"/>
      <c r="O309" s="9"/>
      <c r="P309" s="9"/>
      <c r="Q309" s="7"/>
      <c r="R309" s="7"/>
      <c r="S309" s="7"/>
      <c r="T309" s="7"/>
      <c r="U309" s="8"/>
      <c r="V309" s="7"/>
      <c r="X309" s="7"/>
      <c r="Y309" s="7"/>
      <c r="Z309" s="7"/>
      <c r="AA309" s="7"/>
    </row>
    <row r="310" spans="1:27" ht="16.5">
      <c r="A310" s="1"/>
      <c r="L310" s="1"/>
      <c r="M310" s="54"/>
      <c r="N310" s="7"/>
      <c r="O310" s="9"/>
      <c r="P310" s="9"/>
      <c r="Q310" s="7"/>
      <c r="R310" s="7"/>
      <c r="S310" s="7"/>
      <c r="T310" s="7"/>
      <c r="U310" s="8"/>
      <c r="V310" s="7"/>
      <c r="X310" s="7"/>
      <c r="Y310" s="7"/>
      <c r="Z310" s="7"/>
      <c r="AA310" s="7"/>
    </row>
    <row r="311" spans="1:27" ht="16.5">
      <c r="A311" s="1"/>
      <c r="L311" s="1"/>
      <c r="M311" s="54"/>
      <c r="N311" s="7"/>
      <c r="O311" s="9"/>
      <c r="P311" s="9"/>
      <c r="Q311" s="7"/>
      <c r="R311" s="7"/>
      <c r="S311" s="7"/>
      <c r="T311" s="7"/>
      <c r="U311" s="8"/>
      <c r="V311" s="7"/>
      <c r="X311" s="7"/>
      <c r="Y311" s="7"/>
      <c r="Z311" s="7"/>
      <c r="AA311" s="7"/>
    </row>
    <row r="312" spans="1:27" ht="16.5">
      <c r="A312" s="1"/>
      <c r="L312" s="1"/>
      <c r="M312" s="54"/>
      <c r="N312" s="7"/>
      <c r="O312" s="9"/>
      <c r="P312" s="9"/>
      <c r="Q312" s="7"/>
      <c r="R312" s="7"/>
      <c r="S312" s="7"/>
      <c r="T312" s="7"/>
      <c r="U312" s="8"/>
      <c r="V312" s="7"/>
      <c r="X312" s="7"/>
      <c r="Y312" s="7"/>
      <c r="Z312" s="7"/>
      <c r="AA312" s="7"/>
    </row>
    <row r="313" spans="1:27" ht="16.5">
      <c r="A313" s="1"/>
      <c r="L313" s="1"/>
      <c r="M313" s="54"/>
      <c r="N313" s="7"/>
      <c r="O313" s="9"/>
      <c r="P313" s="9"/>
      <c r="Q313" s="7"/>
      <c r="R313" s="7"/>
      <c r="S313" s="7"/>
      <c r="T313" s="7"/>
      <c r="U313" s="8"/>
      <c r="V313" s="7"/>
      <c r="X313" s="7"/>
      <c r="Y313" s="7"/>
      <c r="Z313" s="7"/>
      <c r="AA313" s="7"/>
    </row>
    <row r="314" spans="1:27" ht="16.5">
      <c r="A314" s="1"/>
      <c r="L314" s="1"/>
      <c r="M314" s="54"/>
      <c r="N314" s="7"/>
      <c r="O314" s="9"/>
      <c r="P314" s="9"/>
      <c r="Q314" s="7"/>
      <c r="R314" s="7"/>
      <c r="S314" s="7"/>
      <c r="T314" s="7"/>
      <c r="U314" s="8"/>
      <c r="V314" s="7"/>
      <c r="X314" s="7"/>
      <c r="Y314" s="7"/>
      <c r="Z314" s="7"/>
      <c r="AA314" s="7"/>
    </row>
    <row r="315" spans="1:27" ht="16.5">
      <c r="A315" s="1"/>
      <c r="L315" s="1"/>
      <c r="M315" s="54"/>
      <c r="N315" s="7"/>
      <c r="O315" s="9"/>
      <c r="P315" s="9"/>
      <c r="Q315" s="7"/>
      <c r="R315" s="7"/>
      <c r="S315" s="7"/>
      <c r="T315" s="7"/>
      <c r="U315" s="8"/>
      <c r="V315" s="7"/>
      <c r="X315" s="7"/>
      <c r="Y315" s="7"/>
      <c r="Z315" s="7"/>
      <c r="AA315" s="7"/>
    </row>
    <row r="316" spans="1:27" ht="16.5">
      <c r="A316" s="1"/>
      <c r="L316" s="1"/>
      <c r="M316" s="54"/>
      <c r="N316" s="7"/>
      <c r="O316" s="9"/>
      <c r="P316" s="9"/>
      <c r="Q316" s="7"/>
      <c r="R316" s="7"/>
      <c r="S316" s="7"/>
      <c r="T316" s="7"/>
      <c r="U316" s="8"/>
      <c r="V316" s="7"/>
      <c r="X316" s="7"/>
      <c r="Y316" s="7"/>
      <c r="Z316" s="7"/>
      <c r="AA316" s="7"/>
    </row>
    <row r="317" spans="1:27" ht="16.5">
      <c r="A317" s="1"/>
      <c r="L317" s="1"/>
      <c r="M317" s="54"/>
      <c r="N317" s="7"/>
      <c r="O317" s="9"/>
      <c r="P317" s="9"/>
      <c r="Q317" s="7"/>
      <c r="R317" s="7"/>
      <c r="S317" s="7"/>
      <c r="T317" s="7"/>
      <c r="U317" s="8"/>
      <c r="V317" s="7"/>
      <c r="X317" s="7"/>
      <c r="Y317" s="7"/>
      <c r="Z317" s="7"/>
      <c r="AA317" s="7"/>
    </row>
    <row r="318" spans="1:27" ht="16.5">
      <c r="A318" s="1"/>
      <c r="L318" s="1"/>
      <c r="M318" s="54"/>
      <c r="N318" s="7"/>
      <c r="O318" s="9"/>
      <c r="P318" s="9"/>
      <c r="Q318" s="7"/>
      <c r="R318" s="7"/>
      <c r="S318" s="7"/>
      <c r="T318" s="7"/>
      <c r="U318" s="8"/>
      <c r="V318" s="7"/>
      <c r="X318" s="7"/>
      <c r="Y318" s="7"/>
      <c r="Z318" s="7"/>
      <c r="AA318" s="7"/>
    </row>
    <row r="319" spans="1:27" ht="16.5">
      <c r="A319" s="1"/>
      <c r="L319" s="1"/>
      <c r="M319" s="54"/>
      <c r="N319" s="7"/>
      <c r="O319" s="9"/>
      <c r="P319" s="9"/>
      <c r="Q319" s="7"/>
      <c r="R319" s="7"/>
      <c r="S319" s="7"/>
      <c r="T319" s="7"/>
      <c r="U319" s="8"/>
      <c r="V319" s="7"/>
      <c r="X319" s="7"/>
      <c r="Y319" s="7"/>
      <c r="Z319" s="7"/>
      <c r="AA319" s="7"/>
    </row>
    <row r="320" spans="1:27" ht="16.5">
      <c r="A320" s="1"/>
      <c r="L320" s="1"/>
      <c r="M320" s="54"/>
      <c r="N320" s="7"/>
      <c r="O320" s="9"/>
      <c r="P320" s="9"/>
      <c r="Q320" s="7"/>
      <c r="R320" s="7"/>
      <c r="S320" s="7"/>
      <c r="T320" s="7"/>
      <c r="U320" s="8"/>
      <c r="V320" s="7"/>
      <c r="X320" s="7"/>
      <c r="Y320" s="7"/>
      <c r="Z320" s="7"/>
      <c r="AA320" s="7"/>
    </row>
    <row r="321" spans="1:27" ht="16.5">
      <c r="A321" s="1"/>
      <c r="L321" s="1"/>
      <c r="M321" s="54"/>
      <c r="N321" s="7"/>
      <c r="O321" s="9"/>
      <c r="P321" s="9"/>
      <c r="Q321" s="7"/>
      <c r="R321" s="7"/>
      <c r="S321" s="7"/>
      <c r="T321" s="7"/>
      <c r="U321" s="8"/>
      <c r="V321" s="7"/>
      <c r="X321" s="7"/>
      <c r="Y321" s="7"/>
      <c r="Z321" s="7"/>
      <c r="AA321" s="7"/>
    </row>
    <row r="322" spans="1:27" ht="16.5">
      <c r="A322" s="1"/>
      <c r="L322" s="1"/>
      <c r="M322" s="54"/>
      <c r="N322" s="7"/>
      <c r="O322" s="9"/>
      <c r="P322" s="9"/>
      <c r="Q322" s="7"/>
      <c r="R322" s="7"/>
      <c r="S322" s="7"/>
      <c r="T322" s="7"/>
      <c r="U322" s="8"/>
      <c r="V322" s="7"/>
      <c r="X322" s="7"/>
      <c r="Y322" s="7"/>
      <c r="Z322" s="7"/>
      <c r="AA322" s="7"/>
    </row>
    <row r="323" spans="1:27" ht="16.5">
      <c r="A323" s="1"/>
      <c r="L323" s="1"/>
      <c r="M323" s="54"/>
      <c r="N323" s="7"/>
      <c r="O323" s="9"/>
      <c r="P323" s="9"/>
      <c r="Q323" s="7"/>
      <c r="R323" s="7"/>
      <c r="S323" s="7"/>
      <c r="T323" s="7"/>
      <c r="U323" s="8"/>
      <c r="V323" s="7"/>
      <c r="X323" s="7"/>
      <c r="Y323" s="7"/>
      <c r="Z323" s="7"/>
      <c r="AA323" s="7"/>
    </row>
    <row r="324" spans="1:27" ht="16.5">
      <c r="A324" s="1"/>
      <c r="L324" s="1"/>
      <c r="M324" s="54"/>
      <c r="N324" s="7"/>
      <c r="O324" s="9"/>
      <c r="P324" s="9"/>
      <c r="Q324" s="7"/>
      <c r="R324" s="7"/>
      <c r="S324" s="7"/>
      <c r="T324" s="7"/>
      <c r="U324" s="8"/>
      <c r="V324" s="7"/>
      <c r="X324" s="7"/>
      <c r="Y324" s="7"/>
      <c r="Z324" s="7"/>
      <c r="AA324" s="7"/>
    </row>
    <row r="325" spans="1:27" ht="16.5">
      <c r="A325" s="1"/>
      <c r="L325" s="1"/>
      <c r="M325" s="54"/>
      <c r="N325" s="7"/>
      <c r="O325" s="9"/>
      <c r="P325" s="9"/>
      <c r="Q325" s="7"/>
      <c r="R325" s="7"/>
      <c r="S325" s="7"/>
      <c r="T325" s="7"/>
      <c r="U325" s="8"/>
      <c r="V325" s="7"/>
      <c r="X325" s="7"/>
      <c r="Y325" s="7"/>
      <c r="Z325" s="7"/>
      <c r="AA325" s="7"/>
    </row>
    <row r="326" spans="1:27" ht="16.5">
      <c r="A326" s="1"/>
      <c r="L326" s="1"/>
      <c r="M326" s="54"/>
      <c r="N326" s="7"/>
      <c r="O326" s="9"/>
      <c r="P326" s="9"/>
      <c r="Q326" s="7"/>
      <c r="R326" s="7"/>
      <c r="S326" s="7"/>
      <c r="T326" s="7"/>
      <c r="U326" s="8"/>
      <c r="V326" s="7"/>
      <c r="X326" s="7"/>
      <c r="Y326" s="7"/>
      <c r="Z326" s="7"/>
      <c r="AA326" s="7"/>
    </row>
    <row r="327" spans="1:27" ht="16.5">
      <c r="A327" s="1"/>
      <c r="L327" s="1"/>
      <c r="M327" s="54"/>
      <c r="N327" s="7"/>
      <c r="O327" s="9"/>
      <c r="P327" s="9"/>
      <c r="Q327" s="7"/>
      <c r="R327" s="7"/>
      <c r="S327" s="7"/>
      <c r="T327" s="7"/>
      <c r="U327" s="8"/>
      <c r="V327" s="7"/>
      <c r="X327" s="7"/>
      <c r="Y327" s="7"/>
      <c r="Z327" s="7"/>
      <c r="AA327" s="7"/>
    </row>
    <row r="328" spans="1:27" ht="16.5">
      <c r="A328" s="1"/>
      <c r="L328" s="1"/>
      <c r="M328" s="54"/>
      <c r="N328" s="7"/>
      <c r="O328" s="9"/>
      <c r="P328" s="9"/>
      <c r="Q328" s="7"/>
      <c r="R328" s="7"/>
      <c r="S328" s="7"/>
      <c r="T328" s="7"/>
      <c r="U328" s="8"/>
      <c r="V328" s="7"/>
      <c r="X328" s="7"/>
      <c r="Y328" s="7"/>
      <c r="Z328" s="7"/>
      <c r="AA328" s="7"/>
    </row>
    <row r="329" spans="1:27" ht="16.5">
      <c r="A329" s="1"/>
      <c r="L329" s="1"/>
      <c r="M329" s="54"/>
      <c r="N329" s="7"/>
      <c r="O329" s="9"/>
      <c r="P329" s="9"/>
      <c r="Q329" s="7"/>
      <c r="R329" s="7"/>
      <c r="S329" s="7"/>
      <c r="T329" s="7"/>
      <c r="U329" s="8"/>
      <c r="V329" s="7"/>
      <c r="X329" s="7"/>
      <c r="Y329" s="7"/>
      <c r="Z329" s="7"/>
      <c r="AA329" s="7"/>
    </row>
    <row r="330" spans="1:27" ht="16.5">
      <c r="A330" s="1"/>
      <c r="L330" s="1"/>
      <c r="M330" s="54"/>
      <c r="N330" s="7"/>
      <c r="O330" s="9"/>
      <c r="P330" s="9"/>
      <c r="Q330" s="7"/>
      <c r="R330" s="7"/>
      <c r="S330" s="7"/>
      <c r="T330" s="7"/>
      <c r="U330" s="8"/>
      <c r="V330" s="7"/>
      <c r="X330" s="7"/>
      <c r="Y330" s="7"/>
      <c r="Z330" s="7"/>
      <c r="AA330" s="7"/>
    </row>
    <row r="331" spans="1:27" ht="16.5">
      <c r="A331" s="1"/>
      <c r="L331" s="1"/>
      <c r="M331" s="54"/>
      <c r="N331" s="7"/>
      <c r="O331" s="9"/>
      <c r="P331" s="9"/>
      <c r="Q331" s="7"/>
      <c r="R331" s="7"/>
      <c r="S331" s="7"/>
      <c r="T331" s="7"/>
      <c r="U331" s="8"/>
      <c r="V331" s="7"/>
      <c r="X331" s="7"/>
      <c r="Y331" s="7"/>
      <c r="Z331" s="7"/>
      <c r="AA331" s="7"/>
    </row>
    <row r="332" spans="1:27" ht="16.5">
      <c r="A332" s="1"/>
      <c r="L332" s="1"/>
      <c r="M332" s="54"/>
      <c r="N332" s="7"/>
      <c r="O332" s="9"/>
      <c r="P332" s="9"/>
      <c r="Q332" s="7"/>
      <c r="R332" s="7"/>
      <c r="S332" s="7"/>
      <c r="T332" s="7"/>
      <c r="U332" s="8"/>
      <c r="V332" s="7"/>
      <c r="X332" s="7"/>
      <c r="Y332" s="7"/>
      <c r="Z332" s="7"/>
      <c r="AA332" s="7"/>
    </row>
    <row r="333" spans="1:27" ht="16.5">
      <c r="A333" s="1"/>
      <c r="L333" s="1"/>
      <c r="M333" s="54"/>
      <c r="N333" s="7"/>
      <c r="O333" s="9"/>
      <c r="P333" s="9"/>
      <c r="Q333" s="7"/>
      <c r="R333" s="7"/>
      <c r="S333" s="7"/>
      <c r="T333" s="7"/>
      <c r="U333" s="8"/>
      <c r="V333" s="7"/>
      <c r="X333" s="7"/>
      <c r="Y333" s="7"/>
      <c r="Z333" s="7"/>
      <c r="AA333" s="7"/>
    </row>
    <row r="334" spans="1:27" ht="16.5">
      <c r="A334" s="1"/>
      <c r="L334" s="1"/>
      <c r="M334" s="54"/>
      <c r="N334" s="7"/>
      <c r="O334" s="9"/>
      <c r="P334" s="9"/>
      <c r="Q334" s="7"/>
      <c r="R334" s="7"/>
      <c r="S334" s="7"/>
      <c r="T334" s="7"/>
      <c r="U334" s="8"/>
      <c r="V334" s="7"/>
      <c r="X334" s="7"/>
      <c r="Y334" s="7"/>
      <c r="Z334" s="7"/>
      <c r="AA334" s="7"/>
    </row>
    <row r="335" spans="1:27" ht="16.5">
      <c r="A335" s="1"/>
      <c r="L335" s="1"/>
      <c r="M335" s="54"/>
      <c r="N335" s="7"/>
      <c r="O335" s="9"/>
      <c r="P335" s="9"/>
      <c r="Q335" s="7"/>
      <c r="R335" s="7"/>
      <c r="S335" s="7"/>
      <c r="T335" s="7"/>
      <c r="U335" s="8"/>
      <c r="V335" s="7"/>
      <c r="X335" s="7"/>
      <c r="Y335" s="7"/>
      <c r="Z335" s="7"/>
      <c r="AA335" s="7"/>
    </row>
    <row r="336" spans="1:27" ht="16.5">
      <c r="A336" s="1"/>
      <c r="L336" s="1"/>
      <c r="M336" s="54"/>
      <c r="N336" s="7"/>
      <c r="O336" s="9"/>
      <c r="P336" s="9"/>
      <c r="Q336" s="7"/>
      <c r="R336" s="7"/>
      <c r="S336" s="7"/>
      <c r="T336" s="7"/>
      <c r="U336" s="8"/>
      <c r="V336" s="7"/>
      <c r="X336" s="7"/>
      <c r="Y336" s="7"/>
      <c r="Z336" s="7"/>
      <c r="AA336" s="7"/>
    </row>
    <row r="337" spans="1:27" ht="16.5">
      <c r="A337" s="1"/>
      <c r="L337" s="1"/>
      <c r="M337" s="54"/>
      <c r="N337" s="7"/>
      <c r="O337" s="9"/>
      <c r="P337" s="9"/>
      <c r="Q337" s="7"/>
      <c r="R337" s="7"/>
      <c r="S337" s="7"/>
      <c r="T337" s="7"/>
      <c r="U337" s="8"/>
      <c r="V337" s="7"/>
      <c r="X337" s="7"/>
      <c r="Y337" s="7"/>
      <c r="Z337" s="7"/>
      <c r="AA337" s="7"/>
    </row>
    <row r="338" spans="1:27" ht="16.5">
      <c r="A338" s="1"/>
      <c r="L338" s="1"/>
      <c r="M338" s="54"/>
      <c r="N338" s="7"/>
      <c r="O338" s="9"/>
      <c r="P338" s="9"/>
      <c r="Q338" s="7"/>
      <c r="R338" s="7"/>
      <c r="S338" s="7"/>
      <c r="T338" s="7"/>
      <c r="U338" s="8"/>
      <c r="V338" s="7"/>
      <c r="X338" s="7"/>
      <c r="Y338" s="7"/>
      <c r="Z338" s="7"/>
      <c r="AA338" s="7"/>
    </row>
    <row r="339" spans="1:27" ht="16.5">
      <c r="A339" s="1"/>
      <c r="L339" s="1"/>
      <c r="M339" s="54"/>
      <c r="N339" s="7"/>
      <c r="O339" s="9"/>
      <c r="P339" s="9"/>
      <c r="Q339" s="7"/>
      <c r="R339" s="7"/>
      <c r="S339" s="7"/>
      <c r="T339" s="7"/>
      <c r="U339" s="8"/>
      <c r="V339" s="7"/>
      <c r="X339" s="7"/>
      <c r="Y339" s="7"/>
      <c r="Z339" s="7"/>
      <c r="AA339" s="7"/>
    </row>
    <row r="340" spans="1:27" ht="16.5">
      <c r="A340" s="1"/>
      <c r="L340" s="1"/>
      <c r="M340" s="54"/>
      <c r="N340" s="7"/>
      <c r="O340" s="9"/>
      <c r="P340" s="9"/>
      <c r="Q340" s="7"/>
      <c r="R340" s="7"/>
      <c r="S340" s="7"/>
      <c r="T340" s="7"/>
      <c r="U340" s="8"/>
      <c r="V340" s="7"/>
      <c r="X340" s="7"/>
      <c r="Y340" s="7"/>
      <c r="Z340" s="7"/>
      <c r="AA340" s="7"/>
    </row>
    <row r="341" spans="1:27" ht="16.5">
      <c r="A341" s="1"/>
      <c r="L341" s="1"/>
      <c r="M341" s="54"/>
      <c r="N341" s="7"/>
      <c r="O341" s="9"/>
      <c r="P341" s="9"/>
      <c r="Q341" s="7"/>
      <c r="R341" s="7"/>
      <c r="S341" s="7"/>
      <c r="T341" s="7"/>
      <c r="U341" s="8"/>
      <c r="V341" s="7"/>
      <c r="X341" s="7"/>
      <c r="Y341" s="7"/>
      <c r="Z341" s="7"/>
      <c r="AA341" s="7"/>
    </row>
    <row r="342" spans="1:27" ht="16.5">
      <c r="A342" s="1"/>
      <c r="L342" s="1"/>
      <c r="M342" s="54"/>
      <c r="N342" s="7"/>
      <c r="O342" s="9"/>
      <c r="P342" s="9"/>
      <c r="Q342" s="7"/>
      <c r="R342" s="7"/>
      <c r="S342" s="7"/>
      <c r="T342" s="7"/>
      <c r="U342" s="8"/>
      <c r="V342" s="7"/>
      <c r="X342" s="7"/>
      <c r="Y342" s="7"/>
      <c r="Z342" s="7"/>
      <c r="AA342" s="7"/>
    </row>
    <row r="343" spans="1:27" ht="16.5">
      <c r="A343" s="1"/>
      <c r="L343" s="1"/>
      <c r="M343" s="54"/>
      <c r="N343" s="7"/>
      <c r="O343" s="9"/>
      <c r="P343" s="9"/>
      <c r="Q343" s="7"/>
      <c r="R343" s="7"/>
      <c r="S343" s="7"/>
      <c r="T343" s="7"/>
      <c r="U343" s="8"/>
      <c r="V343" s="7"/>
      <c r="X343" s="7"/>
      <c r="Y343" s="7"/>
      <c r="Z343" s="7"/>
      <c r="AA343" s="7"/>
    </row>
    <row r="344" spans="1:27" ht="16.5">
      <c r="A344" s="1"/>
      <c r="L344" s="1"/>
      <c r="M344" s="54"/>
      <c r="N344" s="7"/>
      <c r="O344" s="9"/>
      <c r="P344" s="9"/>
      <c r="Q344" s="7"/>
      <c r="R344" s="7"/>
      <c r="S344" s="7"/>
      <c r="T344" s="7"/>
      <c r="U344" s="8"/>
      <c r="V344" s="7"/>
      <c r="X344" s="7"/>
      <c r="Y344" s="7"/>
      <c r="Z344" s="7"/>
      <c r="AA344" s="7"/>
    </row>
    <row r="345" spans="1:27" ht="16.5">
      <c r="A345" s="1"/>
      <c r="L345" s="1"/>
      <c r="M345" s="54"/>
      <c r="N345" s="7"/>
      <c r="O345" s="9"/>
      <c r="P345" s="9"/>
      <c r="Q345" s="7"/>
      <c r="R345" s="7"/>
      <c r="S345" s="7"/>
      <c r="T345" s="7"/>
      <c r="U345" s="8"/>
      <c r="V345" s="7"/>
      <c r="X345" s="7"/>
      <c r="Y345" s="7"/>
      <c r="Z345" s="7"/>
      <c r="AA345" s="7"/>
    </row>
    <row r="346" spans="1:27" ht="16.5">
      <c r="A346" s="1"/>
      <c r="L346" s="1"/>
      <c r="M346" s="54"/>
      <c r="N346" s="7"/>
      <c r="O346" s="9"/>
      <c r="P346" s="9"/>
      <c r="Q346" s="7"/>
      <c r="R346" s="7"/>
      <c r="S346" s="7"/>
      <c r="T346" s="7"/>
      <c r="U346" s="8"/>
      <c r="V346" s="7"/>
      <c r="X346" s="7"/>
      <c r="Y346" s="7"/>
      <c r="Z346" s="7"/>
      <c r="AA346" s="7"/>
    </row>
    <row r="347" spans="1:27" ht="16.5">
      <c r="A347" s="1"/>
      <c r="L347" s="1"/>
      <c r="M347" s="54"/>
      <c r="N347" s="7"/>
      <c r="O347" s="9"/>
      <c r="P347" s="9"/>
      <c r="Q347" s="7"/>
      <c r="R347" s="7"/>
      <c r="S347" s="7"/>
      <c r="T347" s="7"/>
      <c r="U347" s="8"/>
      <c r="V347" s="7"/>
      <c r="X347" s="7"/>
      <c r="Y347" s="7"/>
      <c r="Z347" s="7"/>
      <c r="AA347" s="7"/>
    </row>
    <row r="348" spans="1:27" ht="16.5">
      <c r="A348" s="1"/>
      <c r="L348" s="1"/>
      <c r="M348" s="54"/>
      <c r="N348" s="7"/>
      <c r="O348" s="9"/>
      <c r="P348" s="9"/>
      <c r="Q348" s="7"/>
      <c r="R348" s="7"/>
      <c r="S348" s="7"/>
      <c r="T348" s="7"/>
      <c r="U348" s="8"/>
      <c r="V348" s="7"/>
      <c r="X348" s="7"/>
      <c r="Y348" s="7"/>
      <c r="Z348" s="7"/>
      <c r="AA348" s="7"/>
    </row>
    <row r="349" spans="1:27" ht="16.5">
      <c r="A349" s="1"/>
      <c r="L349" s="1"/>
      <c r="M349" s="54"/>
      <c r="N349" s="7"/>
      <c r="O349" s="9"/>
      <c r="P349" s="9"/>
      <c r="Q349" s="7"/>
      <c r="R349" s="7"/>
      <c r="S349" s="7"/>
      <c r="T349" s="7"/>
      <c r="U349" s="8"/>
      <c r="V349" s="7"/>
      <c r="X349" s="7"/>
      <c r="Y349" s="7"/>
      <c r="Z349" s="7"/>
      <c r="AA349" s="7"/>
    </row>
    <row r="350" spans="1:27" ht="16.5">
      <c r="A350" s="1"/>
      <c r="L350" s="1"/>
      <c r="M350" s="54"/>
      <c r="N350" s="7"/>
      <c r="O350" s="9"/>
      <c r="P350" s="9"/>
      <c r="Q350" s="7"/>
      <c r="R350" s="7"/>
      <c r="S350" s="7"/>
      <c r="T350" s="7"/>
      <c r="U350" s="8"/>
      <c r="V350" s="7"/>
      <c r="X350" s="7"/>
      <c r="Y350" s="7"/>
      <c r="Z350" s="7"/>
      <c r="AA350" s="7"/>
    </row>
    <row r="351" spans="1:27" ht="16.5">
      <c r="A351" s="1"/>
      <c r="L351" s="1"/>
      <c r="M351" s="54"/>
      <c r="N351" s="7"/>
      <c r="O351" s="9"/>
      <c r="P351" s="9"/>
      <c r="Q351" s="7"/>
      <c r="R351" s="7"/>
      <c r="S351" s="7"/>
      <c r="T351" s="7"/>
      <c r="U351" s="8"/>
      <c r="V351" s="7"/>
      <c r="X351" s="7"/>
      <c r="Y351" s="7"/>
      <c r="Z351" s="7"/>
      <c r="AA351" s="7"/>
    </row>
    <row r="352" spans="1:27" ht="16.5">
      <c r="A352" s="1"/>
      <c r="L352" s="1"/>
      <c r="M352" s="54"/>
      <c r="N352" s="7"/>
      <c r="O352" s="9"/>
      <c r="P352" s="9"/>
      <c r="Q352" s="7"/>
      <c r="R352" s="7"/>
      <c r="S352" s="7"/>
      <c r="T352" s="7"/>
      <c r="U352" s="8"/>
      <c r="V352" s="7"/>
      <c r="X352" s="7"/>
      <c r="Y352" s="7"/>
      <c r="Z352" s="7"/>
      <c r="AA352" s="7"/>
    </row>
    <row r="353" spans="1:27" ht="16.5">
      <c r="A353" s="1"/>
      <c r="L353" s="1"/>
      <c r="M353" s="54"/>
      <c r="N353" s="7"/>
      <c r="O353" s="9"/>
      <c r="P353" s="9"/>
      <c r="Q353" s="7"/>
      <c r="R353" s="7"/>
      <c r="S353" s="7"/>
      <c r="T353" s="7"/>
      <c r="U353" s="8"/>
      <c r="V353" s="7"/>
      <c r="X353" s="7"/>
      <c r="Y353" s="7"/>
      <c r="Z353" s="7"/>
      <c r="AA353" s="7"/>
    </row>
    <row r="354" spans="1:27" ht="16.5">
      <c r="A354" s="1"/>
      <c r="L354" s="1"/>
      <c r="M354" s="54"/>
      <c r="N354" s="7"/>
      <c r="O354" s="9"/>
      <c r="P354" s="9"/>
      <c r="Q354" s="7"/>
      <c r="R354" s="7"/>
      <c r="S354" s="7"/>
      <c r="T354" s="7"/>
      <c r="U354" s="8"/>
      <c r="V354" s="7"/>
      <c r="X354" s="7"/>
      <c r="Y354" s="7"/>
      <c r="Z354" s="7"/>
      <c r="AA354" s="7"/>
    </row>
    <row r="355" spans="1:27" ht="16.5">
      <c r="A355" s="1"/>
      <c r="L355" s="1"/>
      <c r="M355" s="54"/>
      <c r="N355" s="7"/>
      <c r="O355" s="9"/>
      <c r="P355" s="9"/>
      <c r="Q355" s="7"/>
      <c r="R355" s="7"/>
      <c r="S355" s="7"/>
      <c r="T355" s="7"/>
      <c r="U355" s="8"/>
      <c r="V355" s="7"/>
      <c r="X355" s="7"/>
      <c r="Y355" s="7"/>
      <c r="Z355" s="7"/>
      <c r="AA355" s="7"/>
    </row>
    <row r="356" spans="1:27" ht="16.5">
      <c r="A356" s="1"/>
      <c r="L356" s="1"/>
      <c r="M356" s="54"/>
      <c r="N356" s="7"/>
      <c r="O356" s="9"/>
      <c r="P356" s="9"/>
      <c r="Q356" s="7"/>
      <c r="R356" s="7"/>
      <c r="S356" s="7"/>
      <c r="T356" s="7"/>
      <c r="U356" s="8"/>
      <c r="V356" s="7"/>
      <c r="X356" s="7"/>
      <c r="Y356" s="7"/>
      <c r="Z356" s="7"/>
      <c r="AA356" s="7"/>
    </row>
    <row r="357" spans="1:27" ht="16.5">
      <c r="A357" s="1"/>
      <c r="L357" s="1"/>
      <c r="M357" s="54"/>
      <c r="N357" s="7"/>
      <c r="O357" s="9"/>
      <c r="P357" s="9"/>
      <c r="Q357" s="7"/>
      <c r="R357" s="7"/>
      <c r="S357" s="7"/>
      <c r="T357" s="7"/>
      <c r="U357" s="8"/>
      <c r="V357" s="7"/>
      <c r="X357" s="7"/>
      <c r="Y357" s="7"/>
      <c r="Z357" s="7"/>
      <c r="AA357" s="7"/>
    </row>
    <row r="358" spans="1:27" ht="16.5">
      <c r="A358" s="1"/>
      <c r="L358" s="1"/>
      <c r="M358" s="54"/>
      <c r="N358" s="7"/>
      <c r="O358" s="9"/>
      <c r="P358" s="9"/>
      <c r="Q358" s="7"/>
      <c r="R358" s="7"/>
      <c r="S358" s="7"/>
      <c r="T358" s="7"/>
      <c r="U358" s="8"/>
      <c r="V358" s="7"/>
      <c r="X358" s="7"/>
      <c r="Y358" s="7"/>
      <c r="Z358" s="7"/>
      <c r="AA358" s="7"/>
    </row>
    <row r="359" spans="1:27" ht="16.5">
      <c r="A359" s="1"/>
      <c r="L359" s="1"/>
      <c r="M359" s="54"/>
      <c r="N359" s="7"/>
      <c r="O359" s="9"/>
      <c r="P359" s="9"/>
      <c r="Q359" s="7"/>
      <c r="R359" s="7"/>
      <c r="S359" s="7"/>
      <c r="T359" s="7"/>
      <c r="U359" s="8"/>
      <c r="V359" s="7"/>
      <c r="X359" s="7"/>
      <c r="Y359" s="7"/>
      <c r="Z359" s="7"/>
      <c r="AA359" s="7"/>
    </row>
    <row r="360" spans="1:27" ht="16.5">
      <c r="A360" s="1"/>
      <c r="L360" s="1"/>
      <c r="M360" s="54"/>
      <c r="N360" s="7"/>
      <c r="O360" s="9"/>
      <c r="P360" s="9"/>
      <c r="Q360" s="7"/>
      <c r="R360" s="7"/>
      <c r="S360" s="7"/>
      <c r="T360" s="7"/>
      <c r="U360" s="8"/>
      <c r="V360" s="7"/>
      <c r="X360" s="7"/>
      <c r="Y360" s="7"/>
      <c r="Z360" s="7"/>
      <c r="AA360" s="7"/>
    </row>
    <row r="361" spans="1:27" ht="16.5">
      <c r="A361" s="1"/>
      <c r="L361" s="1"/>
      <c r="M361" s="54"/>
      <c r="N361" s="7"/>
      <c r="O361" s="9"/>
      <c r="P361" s="9"/>
      <c r="Q361" s="7"/>
      <c r="R361" s="7"/>
      <c r="S361" s="7"/>
      <c r="T361" s="7"/>
      <c r="U361" s="8"/>
      <c r="V361" s="7"/>
      <c r="X361" s="7"/>
      <c r="Y361" s="7"/>
      <c r="Z361" s="7"/>
      <c r="AA361" s="7"/>
    </row>
    <row r="362" spans="1:27" ht="16.5">
      <c r="A362" s="1"/>
      <c r="L362" s="1"/>
      <c r="M362" s="54"/>
      <c r="N362" s="7"/>
      <c r="O362" s="9"/>
      <c r="P362" s="9"/>
      <c r="Q362" s="7"/>
      <c r="R362" s="7"/>
      <c r="S362" s="7"/>
      <c r="T362" s="7"/>
      <c r="U362" s="8"/>
      <c r="V362" s="7"/>
      <c r="X362" s="7"/>
      <c r="Y362" s="7"/>
      <c r="Z362" s="7"/>
      <c r="AA362" s="7"/>
    </row>
    <row r="363" spans="1:27" ht="16.5">
      <c r="A363" s="1"/>
      <c r="L363" s="1"/>
      <c r="M363" s="54"/>
      <c r="N363" s="7"/>
      <c r="O363" s="9"/>
      <c r="P363" s="9"/>
      <c r="Q363" s="7"/>
      <c r="R363" s="7"/>
      <c r="S363" s="7"/>
      <c r="T363" s="7"/>
      <c r="U363" s="8"/>
      <c r="V363" s="7"/>
      <c r="X363" s="7"/>
      <c r="Y363" s="7"/>
      <c r="Z363" s="7"/>
      <c r="AA363" s="7"/>
    </row>
    <row r="364" spans="1:27" ht="16.5">
      <c r="A364" s="1"/>
      <c r="L364" s="1"/>
      <c r="M364" s="54"/>
      <c r="N364" s="7"/>
      <c r="O364" s="9"/>
      <c r="P364" s="9"/>
      <c r="Q364" s="7"/>
      <c r="R364" s="7"/>
      <c r="S364" s="7"/>
      <c r="T364" s="7"/>
      <c r="U364" s="8"/>
      <c r="V364" s="7"/>
      <c r="X364" s="7"/>
      <c r="Y364" s="7"/>
      <c r="Z364" s="7"/>
      <c r="AA364" s="7"/>
    </row>
    <row r="365" spans="1:27" ht="16.5">
      <c r="A365" s="1"/>
      <c r="L365" s="1"/>
      <c r="M365" s="54"/>
      <c r="N365" s="7"/>
      <c r="O365" s="9"/>
      <c r="P365" s="9"/>
      <c r="Q365" s="7"/>
      <c r="R365" s="7"/>
      <c r="S365" s="7"/>
      <c r="T365" s="7"/>
      <c r="U365" s="8"/>
      <c r="V365" s="7"/>
      <c r="X365" s="7"/>
      <c r="Y365" s="7"/>
      <c r="Z365" s="7"/>
      <c r="AA365" s="7"/>
    </row>
    <row r="366" spans="1:27" ht="16.5">
      <c r="A366" s="1"/>
      <c r="L366" s="1"/>
      <c r="M366" s="54"/>
      <c r="N366" s="7"/>
      <c r="O366" s="9"/>
      <c r="P366" s="9"/>
      <c r="Q366" s="7"/>
      <c r="R366" s="7"/>
      <c r="S366" s="7"/>
      <c r="T366" s="7"/>
      <c r="U366" s="8"/>
      <c r="V366" s="7"/>
      <c r="X366" s="7"/>
      <c r="Y366" s="7"/>
      <c r="Z366" s="7"/>
      <c r="AA366" s="7"/>
    </row>
    <row r="367" spans="1:27" ht="16.5">
      <c r="A367" s="1"/>
      <c r="L367" s="1"/>
      <c r="M367" s="54"/>
      <c r="N367" s="7"/>
      <c r="O367" s="9"/>
      <c r="P367" s="9"/>
      <c r="Q367" s="7"/>
      <c r="R367" s="7"/>
      <c r="S367" s="7"/>
      <c r="T367" s="7"/>
      <c r="U367" s="8"/>
      <c r="V367" s="7"/>
      <c r="X367" s="7"/>
      <c r="Y367" s="7"/>
      <c r="Z367" s="7"/>
      <c r="AA367" s="7"/>
    </row>
    <row r="368" spans="1:27" ht="16.5">
      <c r="A368" s="1"/>
      <c r="L368" s="1"/>
      <c r="M368" s="54"/>
      <c r="N368" s="7"/>
      <c r="O368" s="9"/>
      <c r="P368" s="9"/>
      <c r="Q368" s="7"/>
      <c r="R368" s="7"/>
      <c r="S368" s="7"/>
      <c r="T368" s="7"/>
      <c r="U368" s="8"/>
      <c r="V368" s="7"/>
      <c r="X368" s="7"/>
      <c r="Y368" s="7"/>
      <c r="Z368" s="7"/>
      <c r="AA368" s="7"/>
    </row>
    <row r="369" spans="1:27" ht="16.5">
      <c r="A369" s="1"/>
      <c r="L369" s="1"/>
      <c r="M369" s="54"/>
      <c r="N369" s="7"/>
      <c r="O369" s="9"/>
      <c r="P369" s="9"/>
      <c r="Q369" s="7"/>
      <c r="R369" s="7"/>
      <c r="S369" s="7"/>
      <c r="T369" s="7"/>
      <c r="U369" s="8"/>
      <c r="V369" s="7"/>
      <c r="X369" s="7"/>
      <c r="Y369" s="7"/>
      <c r="Z369" s="7"/>
      <c r="AA369" s="7"/>
    </row>
    <row r="370" spans="1:27" ht="16.5">
      <c r="A370" s="1"/>
      <c r="L370" s="1"/>
      <c r="M370" s="54"/>
      <c r="N370" s="7"/>
      <c r="O370" s="9"/>
      <c r="P370" s="9"/>
      <c r="Q370" s="7"/>
      <c r="R370" s="7"/>
      <c r="S370" s="7"/>
      <c r="T370" s="7"/>
      <c r="U370" s="8"/>
      <c r="V370" s="7"/>
      <c r="X370" s="7"/>
      <c r="Y370" s="7"/>
      <c r="Z370" s="7"/>
      <c r="AA370" s="7"/>
    </row>
    <row r="371" spans="1:27" ht="16.5">
      <c r="A371" s="1"/>
      <c r="L371" s="1"/>
      <c r="M371" s="54"/>
      <c r="N371" s="7"/>
      <c r="O371" s="9"/>
      <c r="P371" s="9"/>
      <c r="Q371" s="7"/>
      <c r="R371" s="7"/>
      <c r="S371" s="7"/>
      <c r="T371" s="7"/>
      <c r="U371" s="8"/>
      <c r="V371" s="7"/>
      <c r="X371" s="7"/>
      <c r="Y371" s="7"/>
      <c r="Z371" s="7"/>
      <c r="AA371" s="7"/>
    </row>
    <row r="372" spans="1:27" ht="16.5">
      <c r="A372" s="1"/>
      <c r="L372" s="1"/>
      <c r="M372" s="54"/>
      <c r="N372" s="7"/>
      <c r="O372" s="9"/>
      <c r="P372" s="9"/>
      <c r="Q372" s="7"/>
      <c r="R372" s="7"/>
      <c r="S372" s="7"/>
      <c r="T372" s="7"/>
      <c r="U372" s="8"/>
      <c r="V372" s="7"/>
      <c r="X372" s="7"/>
      <c r="Y372" s="7"/>
      <c r="Z372" s="7"/>
      <c r="AA372" s="7"/>
    </row>
    <row r="373" spans="1:27" ht="16.5">
      <c r="A373" s="1"/>
      <c r="L373" s="1"/>
      <c r="M373" s="54"/>
      <c r="N373" s="7"/>
      <c r="O373" s="9"/>
      <c r="P373" s="9"/>
      <c r="Q373" s="7"/>
      <c r="R373" s="7"/>
      <c r="S373" s="7"/>
      <c r="T373" s="7"/>
      <c r="U373" s="8"/>
      <c r="V373" s="7"/>
      <c r="X373" s="7"/>
      <c r="Y373" s="7"/>
      <c r="Z373" s="7"/>
      <c r="AA373" s="7"/>
    </row>
    <row r="374" spans="1:27" ht="16.5">
      <c r="A374" s="1"/>
      <c r="L374" s="1"/>
      <c r="M374" s="54"/>
      <c r="N374" s="7"/>
      <c r="O374" s="9"/>
      <c r="P374" s="9"/>
      <c r="Q374" s="7"/>
      <c r="R374" s="7"/>
      <c r="S374" s="7"/>
      <c r="T374" s="7"/>
      <c r="U374" s="8"/>
      <c r="V374" s="7"/>
      <c r="X374" s="7"/>
      <c r="Y374" s="7"/>
      <c r="Z374" s="7"/>
      <c r="AA374" s="7"/>
    </row>
    <row r="375" spans="1:27" ht="16.5">
      <c r="A375" s="1"/>
      <c r="L375" s="1"/>
      <c r="M375" s="54"/>
      <c r="N375" s="7"/>
      <c r="O375" s="9"/>
      <c r="P375" s="9"/>
      <c r="Q375" s="7"/>
      <c r="R375" s="7"/>
      <c r="S375" s="7"/>
      <c r="T375" s="7"/>
      <c r="U375" s="8"/>
      <c r="V375" s="7"/>
      <c r="X375" s="7"/>
      <c r="Y375" s="7"/>
      <c r="Z375" s="7"/>
      <c r="AA375" s="7"/>
    </row>
    <row r="376" spans="1:27" ht="16.5">
      <c r="A376" s="1"/>
      <c r="L376" s="1"/>
      <c r="M376" s="54"/>
      <c r="N376" s="7"/>
      <c r="O376" s="9"/>
      <c r="P376" s="9"/>
      <c r="Q376" s="7"/>
      <c r="R376" s="7"/>
      <c r="S376" s="7"/>
      <c r="T376" s="7"/>
      <c r="U376" s="8"/>
      <c r="V376" s="7"/>
      <c r="X376" s="7"/>
      <c r="Y376" s="7"/>
      <c r="Z376" s="7"/>
      <c r="AA376" s="7"/>
    </row>
    <row r="377" spans="1:27" ht="16.5">
      <c r="A377" s="1"/>
      <c r="L377" s="1"/>
      <c r="M377" s="54"/>
      <c r="N377" s="7"/>
      <c r="O377" s="9"/>
      <c r="P377" s="9"/>
      <c r="Q377" s="7"/>
      <c r="R377" s="7"/>
      <c r="S377" s="7"/>
      <c r="T377" s="7"/>
      <c r="U377" s="8"/>
      <c r="V377" s="7"/>
      <c r="X377" s="7"/>
      <c r="Y377" s="7"/>
      <c r="Z377" s="7"/>
      <c r="AA377" s="7"/>
    </row>
    <row r="378" spans="1:27" ht="16.5">
      <c r="A378" s="1"/>
      <c r="L378" s="1"/>
      <c r="M378" s="54"/>
      <c r="N378" s="7"/>
      <c r="O378" s="9"/>
      <c r="P378" s="9"/>
      <c r="Q378" s="7"/>
      <c r="R378" s="7"/>
      <c r="S378" s="7"/>
      <c r="T378" s="7"/>
      <c r="U378" s="8"/>
      <c r="V378" s="7"/>
      <c r="X378" s="7"/>
      <c r="Y378" s="7"/>
      <c r="Z378" s="7"/>
      <c r="AA378" s="7"/>
    </row>
    <row r="379" spans="1:27" ht="16.5">
      <c r="A379" s="1"/>
      <c r="L379" s="1"/>
      <c r="M379" s="54"/>
      <c r="N379" s="7"/>
      <c r="O379" s="9"/>
      <c r="P379" s="9"/>
      <c r="Q379" s="7"/>
      <c r="R379" s="7"/>
      <c r="S379" s="7"/>
      <c r="T379" s="7"/>
      <c r="U379" s="8"/>
      <c r="V379" s="7"/>
      <c r="X379" s="7"/>
      <c r="Y379" s="7"/>
      <c r="Z379" s="7"/>
      <c r="AA379" s="7"/>
    </row>
    <row r="380" spans="1:27" ht="16.5">
      <c r="A380" s="1"/>
      <c r="L380" s="1"/>
      <c r="M380" s="54"/>
      <c r="N380" s="7"/>
      <c r="O380" s="9"/>
      <c r="P380" s="9"/>
      <c r="Q380" s="7"/>
      <c r="R380" s="7"/>
      <c r="S380" s="7"/>
      <c r="T380" s="7"/>
      <c r="U380" s="8"/>
      <c r="V380" s="7"/>
      <c r="X380" s="7"/>
      <c r="Y380" s="7"/>
      <c r="Z380" s="7"/>
      <c r="AA380" s="7"/>
    </row>
    <row r="381" spans="1:27" ht="16.5">
      <c r="A381" s="1"/>
      <c r="L381" s="1"/>
      <c r="M381" s="54"/>
      <c r="N381" s="7"/>
      <c r="O381" s="9"/>
      <c r="P381" s="9"/>
      <c r="Q381" s="7"/>
      <c r="R381" s="7"/>
      <c r="S381" s="7"/>
      <c r="T381" s="7"/>
      <c r="U381" s="8"/>
      <c r="V381" s="7"/>
      <c r="X381" s="7"/>
      <c r="Y381" s="7"/>
      <c r="Z381" s="7"/>
      <c r="AA381" s="7"/>
    </row>
    <row r="382" spans="1:27" ht="16.5">
      <c r="A382" s="1"/>
      <c r="L382" s="1"/>
      <c r="M382" s="54"/>
      <c r="N382" s="7"/>
      <c r="O382" s="9"/>
      <c r="P382" s="9"/>
      <c r="Q382" s="7"/>
      <c r="R382" s="7"/>
      <c r="S382" s="7"/>
      <c r="T382" s="7"/>
      <c r="U382" s="8"/>
      <c r="V382" s="7"/>
      <c r="X382" s="7"/>
      <c r="Y382" s="7"/>
      <c r="Z382" s="7"/>
      <c r="AA382" s="7"/>
    </row>
    <row r="383" spans="1:27" ht="16.5">
      <c r="A383" s="1"/>
      <c r="L383" s="1"/>
      <c r="M383" s="54"/>
      <c r="N383" s="7"/>
      <c r="O383" s="9"/>
      <c r="P383" s="9"/>
      <c r="Q383" s="7"/>
      <c r="R383" s="7"/>
      <c r="S383" s="7"/>
      <c r="T383" s="7"/>
      <c r="U383" s="8"/>
      <c r="V383" s="7"/>
      <c r="X383" s="7"/>
      <c r="Y383" s="7"/>
      <c r="Z383" s="7"/>
      <c r="AA383" s="7"/>
    </row>
    <row r="384" spans="1:27" ht="16.5">
      <c r="A384" s="1"/>
      <c r="L384" s="1"/>
      <c r="M384" s="54"/>
      <c r="N384" s="7"/>
      <c r="O384" s="9"/>
      <c r="P384" s="9"/>
      <c r="Q384" s="7"/>
      <c r="R384" s="7"/>
      <c r="S384" s="7"/>
      <c r="T384" s="7"/>
      <c r="U384" s="8"/>
      <c r="V384" s="7"/>
      <c r="X384" s="7"/>
      <c r="Y384" s="7"/>
      <c r="Z384" s="7"/>
      <c r="AA384" s="7"/>
    </row>
    <row r="385" spans="1:27" ht="16.5">
      <c r="A385" s="1"/>
      <c r="L385" s="1"/>
      <c r="M385" s="54"/>
      <c r="N385" s="7"/>
      <c r="O385" s="9"/>
      <c r="P385" s="9"/>
      <c r="Q385" s="7"/>
      <c r="R385" s="7"/>
      <c r="S385" s="7"/>
      <c r="T385" s="7"/>
      <c r="U385" s="8"/>
      <c r="V385" s="7"/>
      <c r="X385" s="7"/>
      <c r="Y385" s="7"/>
      <c r="Z385" s="7"/>
      <c r="AA385" s="7"/>
    </row>
    <row r="386" spans="1:27" ht="16.5">
      <c r="A386" s="1"/>
      <c r="L386" s="1"/>
      <c r="M386" s="54"/>
      <c r="N386" s="7"/>
      <c r="O386" s="9"/>
      <c r="P386" s="9"/>
      <c r="Q386" s="7"/>
      <c r="R386" s="7"/>
      <c r="S386" s="7"/>
      <c r="T386" s="7"/>
      <c r="U386" s="8"/>
      <c r="V386" s="7"/>
      <c r="X386" s="7"/>
      <c r="Y386" s="7"/>
      <c r="Z386" s="7"/>
      <c r="AA386" s="7"/>
    </row>
    <row r="387" spans="1:27" ht="16.5">
      <c r="A387" s="1"/>
      <c r="L387" s="1"/>
      <c r="M387" s="54"/>
      <c r="N387" s="7"/>
      <c r="O387" s="9"/>
      <c r="P387" s="9"/>
      <c r="Q387" s="7"/>
      <c r="R387" s="7"/>
      <c r="S387" s="7"/>
      <c r="T387" s="7"/>
      <c r="U387" s="8"/>
      <c r="V387" s="7"/>
      <c r="X387" s="7"/>
      <c r="Y387" s="7"/>
      <c r="Z387" s="7"/>
      <c r="AA387" s="7"/>
    </row>
    <row r="388" spans="1:27" ht="16.5">
      <c r="A388" s="1"/>
      <c r="L388" s="1"/>
      <c r="M388" s="54"/>
      <c r="N388" s="7"/>
      <c r="O388" s="9"/>
      <c r="P388" s="9"/>
      <c r="Q388" s="7"/>
      <c r="R388" s="7"/>
      <c r="S388" s="7"/>
      <c r="T388" s="7"/>
      <c r="U388" s="8"/>
      <c r="V388" s="7"/>
      <c r="X388" s="7"/>
      <c r="Y388" s="7"/>
      <c r="Z388" s="7"/>
      <c r="AA388" s="7"/>
    </row>
    <row r="389" spans="1:27" ht="16.5">
      <c r="A389" s="1"/>
      <c r="L389" s="1"/>
      <c r="M389" s="54"/>
      <c r="N389" s="7"/>
      <c r="O389" s="9"/>
      <c r="P389" s="9"/>
      <c r="Q389" s="7"/>
      <c r="R389" s="7"/>
      <c r="S389" s="7"/>
      <c r="T389" s="7"/>
      <c r="U389" s="8"/>
      <c r="V389" s="7"/>
      <c r="X389" s="7"/>
      <c r="Y389" s="7"/>
      <c r="Z389" s="7"/>
      <c r="AA389" s="7"/>
    </row>
    <row r="390" spans="1:27" ht="16.5">
      <c r="A390" s="1"/>
      <c r="L390" s="1"/>
      <c r="M390" s="54"/>
      <c r="N390" s="7"/>
      <c r="O390" s="9"/>
      <c r="P390" s="9"/>
      <c r="Q390" s="7"/>
      <c r="R390" s="7"/>
      <c r="S390" s="7"/>
      <c r="T390" s="7"/>
      <c r="U390" s="8"/>
      <c r="V390" s="7"/>
      <c r="X390" s="7"/>
      <c r="Y390" s="7"/>
      <c r="Z390" s="7"/>
      <c r="AA390" s="7"/>
    </row>
    <row r="391" spans="1:27" ht="16.5">
      <c r="A391" s="1"/>
      <c r="L391" s="1"/>
      <c r="M391" s="54"/>
      <c r="N391" s="7"/>
      <c r="O391" s="9"/>
      <c r="P391" s="9"/>
      <c r="Q391" s="7"/>
      <c r="R391" s="7"/>
      <c r="S391" s="7"/>
      <c r="T391" s="7"/>
      <c r="U391" s="8"/>
      <c r="V391" s="7"/>
      <c r="X391" s="7"/>
      <c r="Y391" s="7"/>
      <c r="Z391" s="7"/>
      <c r="AA391" s="7"/>
    </row>
    <row r="392" spans="1:27" ht="16.5">
      <c r="A392" s="1"/>
      <c r="L392" s="1"/>
      <c r="M392" s="54"/>
      <c r="N392" s="7"/>
      <c r="O392" s="9"/>
      <c r="P392" s="9"/>
      <c r="Q392" s="7"/>
      <c r="R392" s="7"/>
      <c r="S392" s="7"/>
      <c r="T392" s="7"/>
      <c r="U392" s="8"/>
      <c r="V392" s="7"/>
      <c r="X392" s="7"/>
      <c r="Y392" s="7"/>
      <c r="Z392" s="7"/>
      <c r="AA392" s="7"/>
    </row>
    <row r="393" spans="1:27" ht="16.5">
      <c r="A393" s="1"/>
      <c r="L393" s="1"/>
      <c r="M393" s="54"/>
      <c r="N393" s="7"/>
      <c r="O393" s="9"/>
      <c r="P393" s="9"/>
      <c r="Q393" s="7"/>
      <c r="R393" s="7"/>
      <c r="S393" s="7"/>
      <c r="T393" s="7"/>
      <c r="U393" s="8"/>
      <c r="V393" s="7"/>
      <c r="X393" s="7"/>
      <c r="Y393" s="7"/>
      <c r="Z393" s="7"/>
      <c r="AA393" s="7"/>
    </row>
    <row r="394" spans="1:27" ht="16.5">
      <c r="A394" s="1"/>
      <c r="L394" s="1"/>
      <c r="M394" s="54"/>
      <c r="N394" s="7"/>
      <c r="O394" s="9"/>
      <c r="P394" s="9"/>
      <c r="Q394" s="7"/>
      <c r="R394" s="7"/>
      <c r="S394" s="7"/>
      <c r="T394" s="7"/>
      <c r="U394" s="8"/>
      <c r="V394" s="7"/>
      <c r="X394" s="7"/>
      <c r="Y394" s="7"/>
      <c r="Z394" s="7"/>
      <c r="AA394" s="7"/>
    </row>
    <row r="395" spans="1:27" ht="16.5">
      <c r="A395" s="1"/>
      <c r="L395" s="1"/>
      <c r="M395" s="54"/>
      <c r="N395" s="7"/>
      <c r="O395" s="9"/>
      <c r="P395" s="9"/>
      <c r="Q395" s="7"/>
      <c r="R395" s="7"/>
      <c r="S395" s="7"/>
      <c r="T395" s="7"/>
      <c r="U395" s="8"/>
      <c r="V395" s="7"/>
      <c r="X395" s="7"/>
      <c r="Y395" s="7"/>
      <c r="Z395" s="7"/>
      <c r="AA395" s="7"/>
    </row>
    <row r="396" spans="1:27" ht="16.5">
      <c r="A396" s="1"/>
      <c r="L396" s="1"/>
      <c r="M396" s="54"/>
      <c r="N396" s="7"/>
      <c r="O396" s="9"/>
      <c r="P396" s="9"/>
      <c r="Q396" s="7"/>
      <c r="R396" s="7"/>
      <c r="S396" s="7"/>
      <c r="T396" s="7"/>
      <c r="U396" s="8"/>
      <c r="V396" s="7"/>
      <c r="X396" s="7"/>
      <c r="Y396" s="7"/>
      <c r="Z396" s="7"/>
      <c r="AA396" s="7"/>
    </row>
    <row r="397" spans="1:27" ht="16.5">
      <c r="A397" s="1"/>
      <c r="L397" s="1"/>
      <c r="M397" s="54"/>
      <c r="N397" s="7"/>
      <c r="O397" s="9"/>
      <c r="P397" s="9"/>
      <c r="Q397" s="7"/>
      <c r="R397" s="7"/>
      <c r="S397" s="7"/>
      <c r="T397" s="7"/>
      <c r="U397" s="8"/>
      <c r="V397" s="7"/>
      <c r="X397" s="7"/>
      <c r="Y397" s="7"/>
      <c r="Z397" s="7"/>
      <c r="AA397" s="7"/>
    </row>
    <row r="398" spans="1:27" ht="16.5">
      <c r="A398" s="1"/>
      <c r="L398" s="1"/>
      <c r="M398" s="54"/>
      <c r="N398" s="7"/>
      <c r="O398" s="9"/>
      <c r="P398" s="9"/>
      <c r="Q398" s="7"/>
      <c r="R398" s="7"/>
      <c r="S398" s="7"/>
      <c r="T398" s="7"/>
      <c r="U398" s="8"/>
      <c r="V398" s="7"/>
      <c r="X398" s="7"/>
      <c r="Y398" s="7"/>
      <c r="Z398" s="7"/>
      <c r="AA398" s="7"/>
    </row>
    <row r="399" spans="1:27" ht="16.5">
      <c r="A399" s="1"/>
      <c r="L399" s="1"/>
      <c r="M399" s="54"/>
      <c r="N399" s="7"/>
      <c r="O399" s="9"/>
      <c r="P399" s="9"/>
      <c r="Q399" s="7"/>
      <c r="R399" s="7"/>
      <c r="S399" s="7"/>
      <c r="T399" s="7"/>
      <c r="U399" s="8"/>
      <c r="V399" s="7"/>
      <c r="X399" s="7"/>
      <c r="Y399" s="7"/>
      <c r="Z399" s="7"/>
      <c r="AA399" s="7"/>
    </row>
    <row r="400" spans="1:27" ht="16.5">
      <c r="A400" s="1"/>
      <c r="L400" s="1"/>
      <c r="M400" s="54"/>
      <c r="N400" s="7"/>
      <c r="O400" s="9"/>
      <c r="P400" s="9"/>
      <c r="Q400" s="7"/>
      <c r="R400" s="7"/>
      <c r="S400" s="7"/>
      <c r="T400" s="7"/>
      <c r="U400" s="8"/>
      <c r="V400" s="7"/>
      <c r="X400" s="7"/>
      <c r="Y400" s="7"/>
      <c r="Z400" s="7"/>
      <c r="AA400" s="7"/>
    </row>
    <row r="401" spans="1:27" ht="16.5">
      <c r="A401" s="1"/>
      <c r="L401" s="1"/>
      <c r="M401" s="54"/>
      <c r="N401" s="7"/>
      <c r="O401" s="9"/>
      <c r="P401" s="9"/>
      <c r="Q401" s="7"/>
      <c r="R401" s="7"/>
      <c r="S401" s="7"/>
      <c r="T401" s="7"/>
      <c r="U401" s="8"/>
      <c r="V401" s="7"/>
      <c r="X401" s="7"/>
      <c r="Y401" s="7"/>
      <c r="Z401" s="7"/>
      <c r="AA401" s="7"/>
    </row>
    <row r="402" spans="1:27" ht="16.5">
      <c r="A402" s="1"/>
      <c r="L402" s="1"/>
      <c r="M402" s="54"/>
      <c r="N402" s="7"/>
      <c r="O402" s="9"/>
      <c r="P402" s="9"/>
      <c r="Q402" s="7"/>
      <c r="R402" s="7"/>
      <c r="S402" s="7"/>
      <c r="T402" s="7"/>
      <c r="U402" s="8"/>
      <c r="V402" s="7"/>
      <c r="X402" s="7"/>
      <c r="Y402" s="7"/>
      <c r="Z402" s="7"/>
      <c r="AA402" s="7"/>
    </row>
    <row r="403" spans="1:27" ht="16.5">
      <c r="A403" s="1"/>
      <c r="L403" s="1"/>
      <c r="M403" s="54"/>
      <c r="N403" s="7"/>
      <c r="O403" s="9"/>
      <c r="P403" s="9"/>
      <c r="Q403" s="7"/>
      <c r="R403" s="7"/>
      <c r="S403" s="7"/>
      <c r="T403" s="7"/>
      <c r="U403" s="8"/>
      <c r="V403" s="7"/>
      <c r="X403" s="7"/>
      <c r="Y403" s="7"/>
      <c r="Z403" s="7"/>
      <c r="AA403" s="7"/>
    </row>
    <row r="404" spans="1:27" ht="16.5">
      <c r="A404" s="1"/>
      <c r="L404" s="1"/>
      <c r="M404" s="54"/>
      <c r="N404" s="7"/>
      <c r="O404" s="9"/>
      <c r="P404" s="9"/>
      <c r="Q404" s="7"/>
      <c r="R404" s="7"/>
      <c r="S404" s="7"/>
      <c r="T404" s="7"/>
      <c r="U404" s="8"/>
      <c r="V404" s="7"/>
      <c r="X404" s="7"/>
      <c r="Y404" s="7"/>
      <c r="Z404" s="7"/>
      <c r="AA404" s="7"/>
    </row>
    <row r="405" spans="1:27" ht="16.5">
      <c r="A405" s="1"/>
      <c r="L405" s="1"/>
      <c r="M405" s="54"/>
      <c r="N405" s="7"/>
      <c r="O405" s="9"/>
      <c r="P405" s="9"/>
      <c r="Q405" s="7"/>
      <c r="R405" s="7"/>
      <c r="S405" s="7"/>
      <c r="T405" s="7"/>
      <c r="U405" s="8"/>
      <c r="V405" s="7"/>
      <c r="X405" s="7"/>
      <c r="Y405" s="7"/>
      <c r="Z405" s="7"/>
      <c r="AA405" s="7"/>
    </row>
    <row r="406" spans="1:27" ht="16.5">
      <c r="A406" s="1"/>
      <c r="L406" s="1"/>
      <c r="M406" s="54"/>
      <c r="N406" s="7"/>
      <c r="O406" s="9"/>
      <c r="P406" s="9"/>
      <c r="Q406" s="7"/>
      <c r="R406" s="7"/>
      <c r="S406" s="7"/>
      <c r="T406" s="7"/>
      <c r="U406" s="8"/>
      <c r="V406" s="7"/>
      <c r="X406" s="7"/>
      <c r="Y406" s="7"/>
      <c r="Z406" s="7"/>
      <c r="AA406" s="7"/>
    </row>
    <row r="407" spans="1:27" ht="16.5">
      <c r="A407" s="1"/>
      <c r="L407" s="1"/>
      <c r="M407" s="54"/>
      <c r="N407" s="7"/>
      <c r="O407" s="9"/>
      <c r="P407" s="9"/>
      <c r="Q407" s="7"/>
      <c r="R407" s="7"/>
      <c r="S407" s="7"/>
      <c r="T407" s="7"/>
      <c r="U407" s="8"/>
      <c r="V407" s="7"/>
      <c r="X407" s="7"/>
      <c r="Y407" s="7"/>
      <c r="Z407" s="7"/>
      <c r="AA407" s="7"/>
    </row>
    <row r="408" spans="1:27" ht="16.5">
      <c r="A408" s="1"/>
      <c r="L408" s="1"/>
      <c r="M408" s="54"/>
      <c r="N408" s="7"/>
      <c r="O408" s="9"/>
      <c r="P408" s="9"/>
      <c r="Q408" s="7"/>
      <c r="R408" s="7"/>
      <c r="S408" s="7"/>
      <c r="T408" s="7"/>
      <c r="U408" s="8"/>
      <c r="V408" s="7"/>
      <c r="X408" s="7"/>
      <c r="Y408" s="7"/>
      <c r="Z408" s="7"/>
      <c r="AA408" s="7"/>
    </row>
    <row r="409" spans="1:27" ht="16.5">
      <c r="A409" s="1"/>
      <c r="L409" s="1"/>
      <c r="M409" s="54"/>
      <c r="N409" s="7"/>
      <c r="O409" s="9"/>
      <c r="P409" s="9"/>
      <c r="Q409" s="7"/>
      <c r="R409" s="7"/>
      <c r="S409" s="7"/>
      <c r="T409" s="7"/>
      <c r="U409" s="8"/>
      <c r="V409" s="7"/>
      <c r="X409" s="7"/>
      <c r="Y409" s="7"/>
      <c r="Z409" s="7"/>
      <c r="AA409" s="7"/>
    </row>
    <row r="410" spans="1:27" ht="16.5">
      <c r="A410" s="1"/>
      <c r="L410" s="1"/>
      <c r="M410" s="54"/>
      <c r="N410" s="7"/>
      <c r="O410" s="9"/>
      <c r="P410" s="9"/>
      <c r="Q410" s="7"/>
      <c r="R410" s="7"/>
      <c r="S410" s="7"/>
      <c r="T410" s="7"/>
      <c r="U410" s="8"/>
      <c r="V410" s="7"/>
      <c r="X410" s="7"/>
      <c r="Y410" s="7"/>
      <c r="Z410" s="7"/>
      <c r="AA410" s="7"/>
    </row>
    <row r="411" spans="1:27" ht="16.5">
      <c r="A411" s="1"/>
      <c r="L411" s="1"/>
      <c r="M411" s="54"/>
      <c r="N411" s="7"/>
      <c r="O411" s="9"/>
      <c r="P411" s="9"/>
      <c r="Q411" s="7"/>
      <c r="R411" s="7"/>
      <c r="S411" s="7"/>
      <c r="T411" s="7"/>
      <c r="U411" s="8"/>
      <c r="V411" s="7"/>
      <c r="X411" s="7"/>
      <c r="Y411" s="7"/>
      <c r="Z411" s="7"/>
      <c r="AA411" s="7"/>
    </row>
    <row r="412" spans="1:27" ht="16.5">
      <c r="A412" s="1"/>
      <c r="L412" s="1"/>
      <c r="M412" s="54"/>
      <c r="N412" s="7"/>
      <c r="O412" s="9"/>
      <c r="P412" s="9"/>
      <c r="Q412" s="7"/>
      <c r="R412" s="7"/>
      <c r="S412" s="7"/>
      <c r="T412" s="7"/>
      <c r="U412" s="8"/>
      <c r="V412" s="7"/>
      <c r="X412" s="7"/>
      <c r="Y412" s="7"/>
      <c r="Z412" s="7"/>
      <c r="AA412" s="7"/>
    </row>
    <row r="413" spans="1:27" ht="16.5">
      <c r="A413" s="1"/>
      <c r="L413" s="1"/>
      <c r="M413" s="54"/>
      <c r="N413" s="7"/>
      <c r="O413" s="9"/>
      <c r="P413" s="9"/>
      <c r="Q413" s="7"/>
      <c r="R413" s="7"/>
      <c r="S413" s="7"/>
      <c r="T413" s="7"/>
      <c r="U413" s="8"/>
      <c r="V413" s="7"/>
      <c r="X413" s="7"/>
      <c r="Y413" s="7"/>
      <c r="Z413" s="7"/>
      <c r="AA413" s="7"/>
    </row>
    <row r="414" spans="1:27" ht="16.5">
      <c r="A414" s="1"/>
      <c r="L414" s="1"/>
      <c r="M414" s="54"/>
      <c r="N414" s="7"/>
      <c r="O414" s="9"/>
      <c r="P414" s="9"/>
      <c r="Q414" s="7"/>
      <c r="R414" s="7"/>
      <c r="S414" s="7"/>
      <c r="T414" s="7"/>
      <c r="U414" s="8"/>
      <c r="V414" s="7"/>
      <c r="X414" s="7"/>
      <c r="Y414" s="7"/>
      <c r="Z414" s="7"/>
      <c r="AA414" s="7"/>
    </row>
    <row r="415" spans="1:27" ht="16.5">
      <c r="A415" s="1"/>
      <c r="L415" s="1"/>
      <c r="M415" s="54"/>
      <c r="N415" s="7"/>
      <c r="O415" s="9"/>
      <c r="P415" s="9"/>
      <c r="Q415" s="7"/>
      <c r="R415" s="7"/>
      <c r="S415" s="7"/>
      <c r="T415" s="7"/>
      <c r="U415" s="8"/>
      <c r="V415" s="7"/>
      <c r="X415" s="7"/>
      <c r="Y415" s="7"/>
      <c r="Z415" s="7"/>
      <c r="AA415" s="7"/>
    </row>
    <row r="416" spans="1:27" ht="16.5">
      <c r="A416" s="1"/>
      <c r="L416" s="1"/>
      <c r="M416" s="54"/>
      <c r="N416" s="7"/>
      <c r="O416" s="9"/>
      <c r="P416" s="9"/>
      <c r="Q416" s="7"/>
      <c r="R416" s="7"/>
      <c r="S416" s="7"/>
      <c r="T416" s="7"/>
      <c r="U416" s="8"/>
      <c r="V416" s="7"/>
      <c r="X416" s="7"/>
      <c r="Y416" s="7"/>
      <c r="Z416" s="7"/>
      <c r="AA416" s="7"/>
    </row>
    <row r="417" spans="1:27" ht="16.5">
      <c r="A417" s="1"/>
      <c r="L417" s="1"/>
      <c r="M417" s="54"/>
      <c r="N417" s="7"/>
      <c r="O417" s="9"/>
      <c r="P417" s="9"/>
      <c r="Q417" s="7"/>
      <c r="R417" s="7"/>
      <c r="S417" s="7"/>
      <c r="T417" s="7"/>
      <c r="U417" s="8"/>
      <c r="V417" s="7"/>
      <c r="X417" s="7"/>
      <c r="Y417" s="7"/>
      <c r="Z417" s="7"/>
      <c r="AA417" s="7"/>
    </row>
    <row r="418" spans="1:27" ht="16.5">
      <c r="A418" s="1"/>
      <c r="L418" s="1"/>
      <c r="M418" s="54"/>
      <c r="N418" s="7"/>
      <c r="O418" s="9"/>
      <c r="P418" s="9"/>
      <c r="Q418" s="7"/>
      <c r="R418" s="7"/>
      <c r="S418" s="7"/>
      <c r="T418" s="7"/>
      <c r="U418" s="8"/>
      <c r="V418" s="7"/>
      <c r="X418" s="7"/>
      <c r="Y418" s="7"/>
      <c r="Z418" s="7"/>
      <c r="AA418" s="7"/>
    </row>
    <row r="419" spans="1:27" ht="16.5">
      <c r="A419" s="1"/>
      <c r="L419" s="1"/>
      <c r="M419" s="54"/>
      <c r="N419" s="7"/>
      <c r="O419" s="9"/>
      <c r="P419" s="9"/>
      <c r="Q419" s="7"/>
      <c r="R419" s="7"/>
      <c r="S419" s="7"/>
      <c r="T419" s="7"/>
      <c r="U419" s="8"/>
      <c r="V419" s="7"/>
      <c r="X419" s="7"/>
      <c r="Y419" s="7"/>
      <c r="Z419" s="7"/>
      <c r="AA419" s="7"/>
    </row>
    <row r="420" spans="1:27" ht="16.5">
      <c r="A420" s="1"/>
      <c r="L420" s="1"/>
      <c r="M420" s="54"/>
      <c r="N420" s="7"/>
      <c r="O420" s="9"/>
      <c r="P420" s="9"/>
      <c r="Q420" s="7"/>
      <c r="R420" s="7"/>
      <c r="S420" s="7"/>
      <c r="T420" s="7"/>
      <c r="U420" s="8"/>
      <c r="V420" s="7"/>
      <c r="X420" s="7"/>
      <c r="Y420" s="7"/>
      <c r="Z420" s="7"/>
      <c r="AA420" s="7"/>
    </row>
    <row r="421" spans="1:27" ht="16.5">
      <c r="A421" s="1"/>
      <c r="L421" s="1"/>
      <c r="M421" s="54"/>
      <c r="N421" s="7"/>
      <c r="O421" s="9"/>
      <c r="P421" s="9"/>
      <c r="Q421" s="7"/>
      <c r="R421" s="7"/>
      <c r="S421" s="7"/>
      <c r="T421" s="7"/>
      <c r="U421" s="8"/>
      <c r="V421" s="7"/>
      <c r="X421" s="7"/>
      <c r="Y421" s="7"/>
      <c r="Z421" s="7"/>
      <c r="AA421" s="7"/>
    </row>
    <row r="422" spans="1:27" ht="16.5">
      <c r="A422" s="1"/>
      <c r="L422" s="1"/>
      <c r="M422" s="54"/>
      <c r="N422" s="7"/>
      <c r="O422" s="9"/>
      <c r="P422" s="9"/>
      <c r="Q422" s="7"/>
      <c r="R422" s="7"/>
      <c r="S422" s="7"/>
      <c r="T422" s="7"/>
      <c r="U422" s="8"/>
      <c r="V422" s="7"/>
      <c r="X422" s="7"/>
      <c r="Y422" s="7"/>
      <c r="Z422" s="7"/>
      <c r="AA422" s="7"/>
    </row>
    <row r="423" spans="1:27" ht="16.5">
      <c r="A423" s="1"/>
      <c r="L423" s="1"/>
      <c r="M423" s="54"/>
      <c r="N423" s="7"/>
      <c r="O423" s="9"/>
      <c r="P423" s="9"/>
      <c r="Q423" s="7"/>
      <c r="R423" s="7"/>
      <c r="S423" s="7"/>
      <c r="T423" s="7"/>
      <c r="U423" s="8"/>
      <c r="V423" s="7"/>
      <c r="X423" s="7"/>
      <c r="Y423" s="7"/>
      <c r="Z423" s="7"/>
      <c r="AA423" s="7"/>
    </row>
    <row r="424" spans="1:27" ht="16.5">
      <c r="A424" s="1"/>
      <c r="L424" s="1"/>
      <c r="M424" s="54"/>
      <c r="N424" s="7"/>
      <c r="O424" s="9"/>
      <c r="P424" s="9"/>
      <c r="Q424" s="7"/>
      <c r="R424" s="7"/>
      <c r="S424" s="7"/>
      <c r="T424" s="7"/>
      <c r="U424" s="8"/>
      <c r="V424" s="7"/>
      <c r="X424" s="7"/>
      <c r="Y424" s="7"/>
      <c r="Z424" s="7"/>
      <c r="AA424" s="7"/>
    </row>
    <row r="425" spans="1:27" ht="16.5">
      <c r="A425" s="1"/>
      <c r="L425" s="1"/>
      <c r="M425" s="54"/>
      <c r="O425" s="1"/>
      <c r="P425" s="1"/>
      <c r="U425" s="1"/>
      <c r="X425" s="7"/>
      <c r="Y425" s="7"/>
      <c r="Z425" s="7"/>
      <c r="AA425" s="7"/>
    </row>
    <row r="426" spans="1:27" ht="16.5">
      <c r="A426" s="1"/>
      <c r="L426" s="1"/>
      <c r="M426" s="54"/>
      <c r="O426" s="1"/>
      <c r="P426" s="1"/>
      <c r="U426" s="1"/>
      <c r="X426" s="7"/>
      <c r="Y426" s="7"/>
      <c r="Z426" s="7"/>
      <c r="AA426" s="7"/>
    </row>
    <row r="427" spans="1:27" ht="16.5">
      <c r="A427" s="1"/>
      <c r="L427" s="1"/>
      <c r="M427" s="54"/>
      <c r="O427" s="1"/>
      <c r="P427" s="1"/>
      <c r="U427" s="1"/>
      <c r="X427" s="7"/>
      <c r="Y427" s="7"/>
      <c r="Z427" s="7"/>
      <c r="AA427" s="7"/>
    </row>
    <row r="428" spans="1:27" ht="16.5">
      <c r="A428" s="1"/>
      <c r="L428" s="1"/>
      <c r="M428" s="54"/>
      <c r="O428" s="1"/>
      <c r="P428" s="1"/>
      <c r="U428" s="1"/>
      <c r="X428" s="7"/>
      <c r="Y428" s="7"/>
      <c r="Z428" s="7"/>
      <c r="AA428" s="7"/>
    </row>
    <row r="429" spans="1:27" ht="16.5">
      <c r="A429" s="1"/>
      <c r="L429" s="1"/>
      <c r="M429" s="54"/>
      <c r="O429" s="1"/>
      <c r="P429" s="1"/>
      <c r="U429" s="1"/>
      <c r="X429" s="7"/>
      <c r="Y429" s="7"/>
      <c r="Z429" s="7"/>
      <c r="AA429" s="7"/>
    </row>
    <row r="430" spans="1:27" ht="16.5">
      <c r="A430" s="1"/>
      <c r="L430" s="1"/>
      <c r="M430" s="54"/>
      <c r="O430" s="1"/>
      <c r="P430" s="1"/>
      <c r="U430" s="1"/>
      <c r="X430" s="7"/>
      <c r="Y430" s="7"/>
      <c r="Z430" s="7"/>
      <c r="AA430" s="7"/>
    </row>
    <row r="431" spans="1:27" ht="16.5">
      <c r="A431" s="1"/>
      <c r="L431" s="1"/>
      <c r="M431" s="54"/>
      <c r="O431" s="1"/>
      <c r="P431" s="1"/>
      <c r="U431" s="1"/>
      <c r="X431" s="7"/>
      <c r="Y431" s="7"/>
      <c r="Z431" s="7"/>
      <c r="AA431" s="7"/>
    </row>
    <row r="432" spans="1:27" ht="16.5">
      <c r="A432" s="1"/>
      <c r="L432" s="1"/>
      <c r="M432" s="54"/>
      <c r="O432" s="1"/>
      <c r="P432" s="1"/>
      <c r="U432" s="1"/>
      <c r="X432" s="7"/>
      <c r="Y432" s="7"/>
      <c r="Z432" s="7"/>
      <c r="AA432" s="7"/>
    </row>
    <row r="433" spans="1:27" ht="16.5">
      <c r="A433" s="1"/>
      <c r="L433" s="1"/>
      <c r="M433" s="54"/>
      <c r="O433" s="1"/>
      <c r="P433" s="1"/>
      <c r="U433" s="1"/>
      <c r="X433" s="7"/>
      <c r="Y433" s="7"/>
      <c r="Z433" s="7"/>
      <c r="AA433" s="7"/>
    </row>
    <row r="434" spans="1:27" ht="16.5">
      <c r="A434" s="1"/>
      <c r="L434" s="1"/>
      <c r="M434" s="54"/>
      <c r="O434" s="1"/>
      <c r="P434" s="1"/>
      <c r="U434" s="1"/>
      <c r="X434" s="7"/>
      <c r="Y434" s="7"/>
      <c r="Z434" s="7"/>
      <c r="AA434" s="7"/>
    </row>
    <row r="435" spans="1:27" ht="16.5">
      <c r="A435" s="1"/>
      <c r="L435" s="1"/>
      <c r="M435" s="54"/>
      <c r="O435" s="1"/>
      <c r="P435" s="1"/>
      <c r="U435" s="1"/>
      <c r="X435" s="7"/>
      <c r="Y435" s="7"/>
      <c r="Z435" s="7"/>
      <c r="AA435" s="7"/>
    </row>
    <row r="436" spans="1:27" ht="16.5">
      <c r="A436" s="1"/>
      <c r="L436" s="1"/>
      <c r="M436" s="54"/>
      <c r="O436" s="1"/>
      <c r="P436" s="1"/>
      <c r="U436" s="1"/>
      <c r="X436" s="7"/>
      <c r="Y436" s="7"/>
      <c r="Z436" s="7"/>
      <c r="AA436" s="7"/>
    </row>
    <row r="437" spans="1:27" ht="16.5">
      <c r="A437" s="1"/>
      <c r="L437" s="1"/>
      <c r="M437" s="54"/>
      <c r="O437" s="1"/>
      <c r="P437" s="1"/>
      <c r="U437" s="1"/>
      <c r="X437" s="7"/>
      <c r="Y437" s="7"/>
      <c r="Z437" s="7"/>
      <c r="AA437" s="7"/>
    </row>
    <row r="438" spans="1:27" ht="16.5">
      <c r="A438" s="1"/>
      <c r="L438" s="1"/>
      <c r="M438" s="54"/>
      <c r="O438" s="1"/>
      <c r="P438" s="1"/>
      <c r="U438" s="1"/>
      <c r="X438" s="7"/>
      <c r="Y438" s="7"/>
      <c r="Z438" s="7"/>
      <c r="AA438" s="7"/>
    </row>
    <row r="439" spans="1:27" ht="16.5">
      <c r="A439" s="1"/>
      <c r="L439" s="1"/>
      <c r="M439" s="54"/>
      <c r="O439" s="1"/>
      <c r="P439" s="1"/>
      <c r="U439" s="1"/>
      <c r="X439" s="7"/>
      <c r="Y439" s="7"/>
      <c r="Z439" s="7"/>
      <c r="AA439" s="7"/>
    </row>
    <row r="440" spans="1:27" ht="16.5">
      <c r="A440" s="1"/>
      <c r="L440" s="1"/>
      <c r="M440" s="54"/>
      <c r="O440" s="1"/>
      <c r="P440" s="1"/>
      <c r="U440" s="1"/>
      <c r="X440" s="7"/>
      <c r="Y440" s="7"/>
      <c r="Z440" s="7"/>
      <c r="AA440" s="7"/>
    </row>
    <row r="441" spans="1:27" ht="16.5">
      <c r="A441" s="1"/>
      <c r="L441" s="1"/>
      <c r="M441" s="54"/>
      <c r="O441" s="1"/>
      <c r="P441" s="1"/>
      <c r="U441" s="1"/>
      <c r="X441" s="7"/>
      <c r="Y441" s="7"/>
      <c r="Z441" s="7"/>
      <c r="AA441" s="7"/>
    </row>
    <row r="442" spans="1:27" ht="16.5">
      <c r="A442" s="1"/>
      <c r="L442" s="1"/>
      <c r="M442" s="54"/>
      <c r="O442" s="1"/>
      <c r="P442" s="1"/>
      <c r="U442" s="1"/>
      <c r="X442" s="7"/>
      <c r="Y442" s="7"/>
      <c r="Z442" s="7"/>
      <c r="AA442" s="7"/>
    </row>
    <row r="443" spans="1:27" ht="16.5">
      <c r="A443" s="1"/>
      <c r="L443" s="1"/>
      <c r="M443" s="54"/>
      <c r="O443" s="1"/>
      <c r="P443" s="1"/>
      <c r="U443" s="1"/>
      <c r="X443" s="7"/>
      <c r="Y443" s="7"/>
      <c r="Z443" s="7"/>
      <c r="AA443" s="7"/>
    </row>
    <row r="444" spans="1:27" ht="16.5">
      <c r="A444" s="1"/>
      <c r="L444" s="1"/>
      <c r="M444" s="54"/>
      <c r="O444" s="1"/>
      <c r="P444" s="1"/>
      <c r="U444" s="1"/>
      <c r="X444" s="7"/>
      <c r="Y444" s="7"/>
      <c r="Z444" s="7"/>
      <c r="AA444" s="7"/>
    </row>
    <row r="445" spans="1:27" ht="16.5">
      <c r="A445" s="1"/>
      <c r="L445" s="1"/>
      <c r="M445" s="54"/>
      <c r="O445" s="1"/>
      <c r="P445" s="1"/>
      <c r="U445" s="1"/>
      <c r="X445" s="7"/>
      <c r="Y445" s="7"/>
      <c r="Z445" s="7"/>
      <c r="AA445" s="7"/>
    </row>
    <row r="446" spans="1:27" ht="16.5">
      <c r="A446" s="1"/>
      <c r="L446" s="1"/>
      <c r="M446" s="54"/>
      <c r="O446" s="1"/>
      <c r="P446" s="1"/>
      <c r="U446" s="1"/>
      <c r="X446" s="7"/>
      <c r="Y446" s="7"/>
      <c r="Z446" s="7"/>
      <c r="AA446" s="7"/>
    </row>
    <row r="447" spans="1:27" ht="16.5">
      <c r="A447" s="1"/>
      <c r="L447" s="1"/>
      <c r="M447" s="54"/>
      <c r="O447" s="1"/>
      <c r="P447" s="1"/>
      <c r="U447" s="1"/>
      <c r="X447" s="7"/>
      <c r="Y447" s="7"/>
      <c r="Z447" s="7"/>
      <c r="AA447" s="7"/>
    </row>
    <row r="448" spans="1:27" ht="16.5">
      <c r="A448" s="1"/>
      <c r="L448" s="1"/>
      <c r="M448" s="54"/>
      <c r="O448" s="1"/>
      <c r="P448" s="1"/>
      <c r="U448" s="1"/>
      <c r="X448" s="7"/>
      <c r="Y448" s="7"/>
      <c r="Z448" s="7"/>
      <c r="AA448" s="7"/>
    </row>
    <row r="449" spans="1:27" ht="16.5">
      <c r="A449" s="1"/>
      <c r="L449" s="1"/>
      <c r="M449" s="54"/>
      <c r="O449" s="1"/>
      <c r="P449" s="1"/>
      <c r="U449" s="1"/>
      <c r="X449" s="7"/>
      <c r="Y449" s="7"/>
      <c r="Z449" s="7"/>
      <c r="AA449" s="7"/>
    </row>
    <row r="450" spans="1:27" ht="16.5">
      <c r="A450" s="1"/>
      <c r="L450" s="1"/>
      <c r="M450" s="54"/>
      <c r="O450" s="1"/>
      <c r="P450" s="1"/>
      <c r="U450" s="1"/>
      <c r="X450" s="7"/>
      <c r="Y450" s="7"/>
      <c r="Z450" s="7"/>
      <c r="AA450" s="7"/>
    </row>
    <row r="451" spans="1:27" ht="16.5">
      <c r="A451" s="1"/>
      <c r="L451" s="1"/>
      <c r="M451" s="54"/>
      <c r="O451" s="1"/>
      <c r="P451" s="1"/>
      <c r="U451" s="1"/>
      <c r="X451" s="7"/>
      <c r="Y451" s="7"/>
      <c r="Z451" s="7"/>
      <c r="AA451" s="7"/>
    </row>
    <row r="452" spans="1:27" ht="16.5">
      <c r="A452" s="1"/>
      <c r="L452" s="1"/>
      <c r="M452" s="54"/>
      <c r="O452" s="1"/>
      <c r="P452" s="1"/>
      <c r="U452" s="1"/>
      <c r="X452" s="7"/>
      <c r="Y452" s="7"/>
      <c r="Z452" s="7"/>
      <c r="AA452" s="7"/>
    </row>
    <row r="453" spans="1:27" ht="16.5">
      <c r="A453" s="1"/>
      <c r="L453" s="1"/>
      <c r="M453" s="54"/>
      <c r="O453" s="1"/>
      <c r="P453" s="1"/>
      <c r="U453" s="1"/>
      <c r="X453" s="7"/>
      <c r="Y453" s="7"/>
      <c r="Z453" s="7"/>
      <c r="AA453" s="7"/>
    </row>
    <row r="454" spans="1:27" ht="16.5">
      <c r="A454" s="1"/>
      <c r="L454" s="1"/>
      <c r="M454" s="54"/>
      <c r="O454" s="1"/>
      <c r="P454" s="1"/>
      <c r="U454" s="1"/>
      <c r="X454" s="7"/>
      <c r="Y454" s="7"/>
      <c r="Z454" s="7"/>
      <c r="AA454" s="7"/>
    </row>
    <row r="455" spans="1:27" ht="16.5">
      <c r="A455" s="1"/>
      <c r="L455" s="1"/>
      <c r="M455" s="54"/>
      <c r="O455" s="1"/>
      <c r="P455" s="1"/>
      <c r="U455" s="1"/>
      <c r="X455" s="7"/>
      <c r="Y455" s="7"/>
      <c r="Z455" s="7"/>
      <c r="AA455" s="7"/>
    </row>
    <row r="456" spans="1:27" ht="16.5">
      <c r="A456" s="1"/>
      <c r="L456" s="1"/>
      <c r="M456" s="54"/>
      <c r="O456" s="1"/>
      <c r="P456" s="1"/>
      <c r="U456" s="1"/>
      <c r="X456" s="7"/>
      <c r="Y456" s="7"/>
      <c r="Z456" s="7"/>
      <c r="AA456" s="7"/>
    </row>
    <row r="457" spans="1:27" ht="16.5">
      <c r="A457" s="1"/>
      <c r="L457" s="1"/>
      <c r="M457" s="54"/>
      <c r="O457" s="1"/>
      <c r="P457" s="1"/>
      <c r="U457" s="1"/>
      <c r="X457" s="7"/>
      <c r="Y457" s="7"/>
      <c r="Z457" s="7"/>
      <c r="AA457" s="7"/>
    </row>
    <row r="458" spans="1:27" ht="16.5">
      <c r="A458" s="1"/>
      <c r="L458" s="1"/>
      <c r="M458" s="54"/>
      <c r="O458" s="1"/>
      <c r="P458" s="1"/>
      <c r="U458" s="1"/>
      <c r="X458" s="7"/>
      <c r="Y458" s="7"/>
      <c r="Z458" s="7"/>
      <c r="AA458" s="7"/>
    </row>
    <row r="459" spans="1:27" ht="16.5">
      <c r="A459" s="1"/>
      <c r="L459" s="1"/>
      <c r="M459" s="54"/>
      <c r="O459" s="1"/>
      <c r="P459" s="1"/>
      <c r="U459" s="1"/>
      <c r="X459" s="7"/>
      <c r="Y459" s="7"/>
      <c r="Z459" s="7"/>
      <c r="AA459" s="7"/>
    </row>
    <row r="460" spans="1:27" ht="16.5">
      <c r="A460" s="1"/>
      <c r="L460" s="1"/>
      <c r="M460" s="54"/>
      <c r="O460" s="1"/>
      <c r="P460" s="1"/>
      <c r="U460" s="1"/>
      <c r="X460" s="7"/>
      <c r="Y460" s="7"/>
      <c r="Z460" s="7"/>
      <c r="AA460" s="7"/>
    </row>
    <row r="461" spans="1:27" ht="16.5">
      <c r="A461" s="1"/>
      <c r="L461" s="1"/>
      <c r="M461" s="54"/>
      <c r="O461" s="1"/>
      <c r="P461" s="1"/>
      <c r="U461" s="1"/>
      <c r="X461" s="7"/>
      <c r="Y461" s="7"/>
      <c r="Z461" s="7"/>
      <c r="AA461" s="7"/>
    </row>
    <row r="462" spans="1:27" ht="16.5">
      <c r="A462" s="1"/>
      <c r="L462" s="1"/>
      <c r="M462" s="54"/>
      <c r="O462" s="1"/>
      <c r="P462" s="1"/>
      <c r="U462" s="1"/>
      <c r="X462" s="7"/>
      <c r="Y462" s="7"/>
      <c r="Z462" s="7"/>
      <c r="AA462" s="7"/>
    </row>
    <row r="463" spans="1:27" ht="16.5">
      <c r="A463" s="1"/>
      <c r="L463" s="1"/>
      <c r="M463" s="54"/>
      <c r="O463" s="1"/>
      <c r="P463" s="1"/>
      <c r="U463" s="1"/>
      <c r="X463" s="7"/>
      <c r="Y463" s="7"/>
      <c r="Z463" s="7"/>
      <c r="AA463" s="7"/>
    </row>
    <row r="464" spans="1:27" ht="16.5">
      <c r="A464" s="1"/>
      <c r="L464" s="1"/>
      <c r="M464" s="54"/>
      <c r="O464" s="1"/>
      <c r="P464" s="1"/>
      <c r="U464" s="1"/>
      <c r="X464" s="7"/>
      <c r="Y464" s="7"/>
      <c r="Z464" s="7"/>
      <c r="AA464" s="7"/>
    </row>
    <row r="465" spans="1:27" ht="16.5">
      <c r="A465" s="1"/>
      <c r="L465" s="1"/>
      <c r="M465" s="54"/>
      <c r="O465" s="1"/>
      <c r="P465" s="1"/>
      <c r="U465" s="1"/>
      <c r="X465" s="7"/>
      <c r="Y465" s="7"/>
      <c r="Z465" s="7"/>
      <c r="AA465" s="7"/>
    </row>
    <row r="466" spans="1:27" ht="16.5">
      <c r="A466" s="1"/>
      <c r="L466" s="1"/>
      <c r="M466" s="54"/>
      <c r="O466" s="1"/>
      <c r="P466" s="1"/>
      <c r="U466" s="1"/>
      <c r="X466" s="7"/>
      <c r="Y466" s="7"/>
      <c r="Z466" s="7"/>
      <c r="AA466" s="7"/>
    </row>
    <row r="467" spans="1:27" ht="16.5">
      <c r="A467" s="1"/>
      <c r="L467" s="1"/>
      <c r="M467" s="54"/>
      <c r="O467" s="1"/>
      <c r="P467" s="1"/>
      <c r="U467" s="1"/>
      <c r="X467" s="7"/>
      <c r="Y467" s="7"/>
      <c r="Z467" s="7"/>
      <c r="AA467" s="7"/>
    </row>
    <row r="468" spans="1:27" ht="16.5">
      <c r="A468" s="1"/>
      <c r="L468" s="1"/>
      <c r="M468" s="54"/>
      <c r="O468" s="1"/>
      <c r="P468" s="1"/>
      <c r="U468" s="1"/>
      <c r="X468" s="7"/>
      <c r="Y468" s="7"/>
      <c r="Z468" s="7"/>
      <c r="AA468" s="7"/>
    </row>
    <row r="469" spans="1:27" ht="16.5">
      <c r="A469" s="1"/>
      <c r="L469" s="1"/>
      <c r="M469" s="54"/>
      <c r="O469" s="1"/>
      <c r="P469" s="1"/>
      <c r="U469" s="1"/>
      <c r="X469" s="7"/>
      <c r="Y469" s="7"/>
      <c r="Z469" s="7"/>
      <c r="AA469" s="7"/>
    </row>
    <row r="470" spans="1:27" ht="16.5">
      <c r="A470" s="1"/>
      <c r="L470" s="1"/>
      <c r="M470" s="54"/>
      <c r="O470" s="1"/>
      <c r="P470" s="1"/>
      <c r="U470" s="1"/>
      <c r="X470" s="7"/>
      <c r="Y470" s="7"/>
      <c r="Z470" s="7"/>
      <c r="AA470" s="7"/>
    </row>
    <row r="471" spans="1:27" ht="16.5">
      <c r="A471" s="1"/>
      <c r="L471" s="1"/>
      <c r="M471" s="54"/>
      <c r="O471" s="1"/>
      <c r="P471" s="1"/>
      <c r="U471" s="1"/>
      <c r="X471" s="7"/>
      <c r="Y471" s="7"/>
      <c r="Z471" s="7"/>
      <c r="AA471" s="7"/>
    </row>
    <row r="472" spans="1:27" ht="16.5">
      <c r="A472" s="1"/>
      <c r="L472" s="1"/>
      <c r="M472" s="54"/>
      <c r="O472" s="1"/>
      <c r="P472" s="1"/>
      <c r="U472" s="1"/>
      <c r="X472" s="7"/>
      <c r="Y472" s="7"/>
      <c r="Z472" s="7"/>
      <c r="AA472" s="7"/>
    </row>
    <row r="473" spans="1:27" ht="16.5">
      <c r="A473" s="1"/>
      <c r="L473" s="1"/>
      <c r="M473" s="54"/>
      <c r="O473" s="1"/>
      <c r="P473" s="1"/>
      <c r="U473" s="1"/>
      <c r="X473" s="7"/>
      <c r="Y473" s="7"/>
      <c r="Z473" s="7"/>
      <c r="AA473" s="7"/>
    </row>
    <row r="474" spans="1:27" ht="16.5">
      <c r="A474" s="1"/>
      <c r="L474" s="1"/>
      <c r="M474" s="54"/>
      <c r="O474" s="1"/>
      <c r="P474" s="1"/>
      <c r="U474" s="1"/>
      <c r="X474" s="7"/>
      <c r="Y474" s="7"/>
      <c r="Z474" s="7"/>
      <c r="AA474" s="7"/>
    </row>
    <row r="475" spans="1:27" ht="16.5">
      <c r="A475" s="1"/>
      <c r="L475" s="1"/>
      <c r="M475" s="54"/>
      <c r="O475" s="1"/>
      <c r="P475" s="1"/>
      <c r="U475" s="1"/>
      <c r="X475" s="7"/>
      <c r="Y475" s="7"/>
      <c r="Z475" s="7"/>
      <c r="AA475" s="7"/>
    </row>
    <row r="476" spans="1:27" ht="16.5">
      <c r="A476" s="1"/>
      <c r="L476" s="1"/>
      <c r="M476" s="54"/>
      <c r="O476" s="1"/>
      <c r="P476" s="1"/>
      <c r="U476" s="1"/>
      <c r="X476" s="7"/>
      <c r="Y476" s="7"/>
      <c r="Z476" s="7"/>
      <c r="AA476" s="7"/>
    </row>
    <row r="477" spans="1:27" ht="16.5">
      <c r="A477" s="1"/>
      <c r="L477" s="1"/>
      <c r="M477" s="54"/>
      <c r="O477" s="1"/>
      <c r="P477" s="1"/>
      <c r="U477" s="1"/>
      <c r="X477" s="7"/>
      <c r="Y477" s="7"/>
      <c r="Z477" s="7"/>
      <c r="AA477" s="7"/>
    </row>
    <row r="478" spans="1:27" ht="16.5">
      <c r="A478" s="1"/>
      <c r="L478" s="1"/>
      <c r="M478" s="54"/>
      <c r="O478" s="1"/>
      <c r="P478" s="1"/>
      <c r="U478" s="1"/>
      <c r="X478" s="7"/>
      <c r="Y478" s="7"/>
      <c r="Z478" s="7"/>
      <c r="AA478" s="7"/>
    </row>
    <row r="479" spans="1:27" ht="16.5">
      <c r="A479" s="1"/>
      <c r="L479" s="1"/>
      <c r="M479" s="54"/>
      <c r="O479" s="1"/>
      <c r="P479" s="1"/>
      <c r="U479" s="1"/>
      <c r="X479" s="7"/>
      <c r="Y479" s="7"/>
      <c r="Z479" s="7"/>
      <c r="AA479" s="7"/>
    </row>
    <row r="480" spans="1:27" ht="16.5">
      <c r="A480" s="1"/>
      <c r="L480" s="1"/>
      <c r="M480" s="54"/>
      <c r="O480" s="1"/>
      <c r="P480" s="1"/>
      <c r="U480" s="1"/>
      <c r="X480" s="7"/>
      <c r="Y480" s="7"/>
      <c r="Z480" s="7"/>
      <c r="AA480" s="7"/>
    </row>
    <row r="481" spans="1:27" ht="16.5">
      <c r="A481" s="1"/>
      <c r="L481" s="1"/>
      <c r="M481" s="54"/>
      <c r="O481" s="1"/>
      <c r="P481" s="1"/>
      <c r="U481" s="1"/>
      <c r="X481" s="7"/>
      <c r="Y481" s="7"/>
      <c r="Z481" s="7"/>
      <c r="AA481" s="7"/>
    </row>
    <row r="482" spans="1:27" ht="16.5">
      <c r="A482" s="1"/>
      <c r="L482" s="1"/>
      <c r="M482" s="54"/>
      <c r="O482" s="1"/>
      <c r="P482" s="1"/>
      <c r="U482" s="1"/>
      <c r="X482" s="7"/>
      <c r="Y482" s="7"/>
      <c r="Z482" s="7"/>
      <c r="AA482" s="7"/>
    </row>
    <row r="483" spans="1:27" ht="16.5">
      <c r="A483" s="1"/>
      <c r="L483" s="1"/>
      <c r="M483" s="54"/>
      <c r="O483" s="1"/>
      <c r="P483" s="1"/>
      <c r="U483" s="1"/>
      <c r="X483" s="7"/>
      <c r="Y483" s="7"/>
      <c r="Z483" s="7"/>
      <c r="AA483" s="7"/>
    </row>
    <row r="484" spans="1:27" ht="16.5">
      <c r="A484" s="1"/>
      <c r="L484" s="1"/>
      <c r="M484" s="54"/>
      <c r="O484" s="1"/>
      <c r="P484" s="1"/>
      <c r="U484" s="1"/>
      <c r="X484" s="7"/>
      <c r="Y484" s="7"/>
      <c r="Z484" s="7"/>
      <c r="AA484" s="7"/>
    </row>
    <row r="485" spans="1:27" ht="16.5">
      <c r="A485" s="1"/>
      <c r="L485" s="1"/>
      <c r="M485" s="54"/>
      <c r="O485" s="1"/>
      <c r="P485" s="1"/>
      <c r="U485" s="1"/>
      <c r="X485" s="7"/>
      <c r="Y485" s="7"/>
      <c r="Z485" s="7"/>
      <c r="AA485" s="7"/>
    </row>
    <row r="486" spans="1:27" ht="16.5">
      <c r="A486" s="1"/>
      <c r="L486" s="1"/>
      <c r="M486" s="54"/>
      <c r="O486" s="1"/>
      <c r="P486" s="1"/>
      <c r="U486" s="1"/>
      <c r="X486" s="7"/>
      <c r="Y486" s="7"/>
      <c r="Z486" s="7"/>
      <c r="AA486" s="7"/>
    </row>
    <row r="487" spans="1:27" ht="16.5">
      <c r="A487" s="1"/>
      <c r="L487" s="1"/>
      <c r="M487" s="54"/>
      <c r="O487" s="1"/>
      <c r="P487" s="1"/>
      <c r="U487" s="1"/>
      <c r="X487" s="7"/>
      <c r="Y487" s="7"/>
      <c r="Z487" s="7"/>
      <c r="AA487" s="7"/>
    </row>
    <row r="488" spans="1:27" ht="16.5">
      <c r="A488" s="1"/>
      <c r="L488" s="1"/>
      <c r="M488" s="54"/>
      <c r="O488" s="1"/>
      <c r="P488" s="1"/>
      <c r="U488" s="1"/>
      <c r="X488" s="7"/>
      <c r="Y488" s="7"/>
      <c r="Z488" s="7"/>
      <c r="AA488" s="7"/>
    </row>
    <row r="489" spans="1:27" ht="16.5">
      <c r="A489" s="1"/>
      <c r="L489" s="1"/>
      <c r="M489" s="54"/>
      <c r="O489" s="1"/>
      <c r="P489" s="1"/>
      <c r="U489" s="1"/>
      <c r="X489" s="7"/>
      <c r="Y489" s="7"/>
      <c r="Z489" s="7"/>
      <c r="AA489" s="7"/>
    </row>
    <row r="490" spans="1:27" ht="16.5">
      <c r="A490" s="1"/>
      <c r="L490" s="1"/>
      <c r="M490" s="54"/>
      <c r="O490" s="1"/>
      <c r="P490" s="1"/>
      <c r="U490" s="1"/>
      <c r="X490" s="7"/>
      <c r="Y490" s="7"/>
      <c r="Z490" s="7"/>
      <c r="AA490" s="7"/>
    </row>
    <row r="491" spans="1:27" ht="16.5">
      <c r="A491" s="1"/>
      <c r="L491" s="1"/>
      <c r="M491" s="54"/>
      <c r="O491" s="1"/>
      <c r="P491" s="1"/>
      <c r="U491" s="1"/>
      <c r="X491" s="7"/>
      <c r="Y491" s="7"/>
      <c r="Z491" s="7"/>
      <c r="AA491" s="7"/>
    </row>
    <row r="492" spans="1:27" ht="16.5">
      <c r="A492" s="1"/>
      <c r="L492" s="1"/>
      <c r="M492" s="54"/>
      <c r="O492" s="1"/>
      <c r="P492" s="1"/>
      <c r="U492" s="1"/>
      <c r="X492" s="7"/>
      <c r="Y492" s="7"/>
      <c r="Z492" s="7"/>
      <c r="AA492" s="7"/>
    </row>
    <row r="493" spans="1:27" ht="16.5">
      <c r="A493" s="1"/>
      <c r="L493" s="1"/>
      <c r="M493" s="54"/>
      <c r="O493" s="1"/>
      <c r="P493" s="1"/>
      <c r="U493" s="1"/>
      <c r="X493" s="7"/>
      <c r="Y493" s="7"/>
      <c r="Z493" s="7"/>
      <c r="AA493" s="7"/>
    </row>
    <row r="494" spans="1:27" ht="16.5">
      <c r="A494" s="1"/>
      <c r="L494" s="1"/>
      <c r="M494" s="54"/>
      <c r="O494" s="1"/>
      <c r="P494" s="1"/>
      <c r="U494" s="1"/>
      <c r="X494" s="7"/>
      <c r="Y494" s="7"/>
      <c r="Z494" s="7"/>
      <c r="AA494" s="7"/>
    </row>
    <row r="495" spans="1:27" ht="16.5">
      <c r="A495" s="1"/>
      <c r="L495" s="1"/>
      <c r="M495" s="54"/>
      <c r="O495" s="1"/>
      <c r="P495" s="1"/>
      <c r="U495" s="1"/>
      <c r="X495" s="7"/>
      <c r="Y495" s="7"/>
      <c r="Z495" s="7"/>
      <c r="AA495" s="7"/>
    </row>
    <row r="496" spans="1:27" ht="16.5">
      <c r="A496" s="1"/>
      <c r="L496" s="1"/>
      <c r="M496" s="54"/>
      <c r="O496" s="1"/>
      <c r="P496" s="1"/>
      <c r="U496" s="1"/>
      <c r="X496" s="7"/>
      <c r="Y496" s="7"/>
      <c r="Z496" s="7"/>
      <c r="AA496" s="7"/>
    </row>
    <row r="497" spans="1:27" ht="16.5">
      <c r="A497" s="1"/>
      <c r="L497" s="1"/>
      <c r="M497" s="54"/>
      <c r="O497" s="1"/>
      <c r="P497" s="1"/>
      <c r="U497" s="1"/>
      <c r="X497" s="7"/>
      <c r="Y497" s="7"/>
      <c r="Z497" s="7"/>
      <c r="AA497" s="7"/>
    </row>
    <row r="498" spans="1:27" ht="16.5">
      <c r="A498" s="1"/>
      <c r="L498" s="1"/>
      <c r="M498" s="54"/>
      <c r="O498" s="1"/>
      <c r="P498" s="1"/>
      <c r="U498" s="1"/>
      <c r="X498" s="7"/>
      <c r="Y498" s="7"/>
      <c r="Z498" s="7"/>
      <c r="AA498" s="7"/>
    </row>
    <row r="499" spans="1:27" ht="16.5">
      <c r="A499" s="1"/>
      <c r="L499" s="1"/>
      <c r="M499" s="54"/>
      <c r="O499" s="1"/>
      <c r="P499" s="1"/>
      <c r="U499" s="1"/>
      <c r="X499" s="7"/>
      <c r="Y499" s="7"/>
      <c r="Z499" s="7"/>
      <c r="AA499" s="7"/>
    </row>
    <row r="500" spans="1:27" ht="16.5">
      <c r="A500" s="1"/>
      <c r="L500" s="1"/>
      <c r="M500" s="54"/>
      <c r="O500" s="1"/>
      <c r="P500" s="1"/>
      <c r="U500" s="1"/>
      <c r="X500" s="7"/>
      <c r="Y500" s="7"/>
      <c r="Z500" s="7"/>
      <c r="AA500" s="7"/>
    </row>
    <row r="501" spans="1:27" ht="16.5">
      <c r="A501" s="1"/>
      <c r="L501" s="1"/>
      <c r="M501" s="54"/>
      <c r="O501" s="1"/>
      <c r="P501" s="1"/>
      <c r="U501" s="1"/>
      <c r="X501" s="7"/>
      <c r="Y501" s="7"/>
      <c r="Z501" s="7"/>
      <c r="AA501" s="7"/>
    </row>
    <row r="502" spans="1:27" ht="16.5">
      <c r="A502" s="1"/>
      <c r="L502" s="1"/>
      <c r="M502" s="54"/>
      <c r="O502" s="1"/>
      <c r="P502" s="1"/>
      <c r="U502" s="1"/>
      <c r="X502" s="7"/>
      <c r="Y502" s="7"/>
      <c r="Z502" s="7"/>
      <c r="AA502" s="7"/>
    </row>
    <row r="503" spans="1:27" ht="16.5">
      <c r="A503" s="1"/>
      <c r="L503" s="1"/>
      <c r="M503" s="54"/>
      <c r="O503" s="1"/>
      <c r="P503" s="1"/>
      <c r="U503" s="1"/>
      <c r="X503" s="7"/>
      <c r="Y503" s="7"/>
      <c r="Z503" s="7"/>
      <c r="AA503" s="7"/>
    </row>
    <row r="504" spans="1:27" ht="16.5">
      <c r="A504" s="1"/>
      <c r="L504" s="1"/>
      <c r="M504" s="54"/>
      <c r="O504" s="1"/>
      <c r="P504" s="1"/>
      <c r="U504" s="1"/>
      <c r="X504" s="7"/>
      <c r="Y504" s="7"/>
      <c r="Z504" s="7"/>
      <c r="AA504" s="7"/>
    </row>
    <row r="505" spans="1:27" ht="16.5">
      <c r="A505" s="1"/>
      <c r="L505" s="1"/>
      <c r="M505" s="54"/>
      <c r="O505" s="1"/>
      <c r="P505" s="1"/>
      <c r="U505" s="1"/>
      <c r="X505" s="7"/>
      <c r="Y505" s="7"/>
      <c r="Z505" s="7"/>
      <c r="AA505" s="7"/>
    </row>
    <row r="506" spans="1:27" ht="16.5">
      <c r="A506" s="1"/>
      <c r="L506" s="1"/>
      <c r="M506" s="54"/>
      <c r="O506" s="1"/>
      <c r="P506" s="1"/>
      <c r="U506" s="1"/>
      <c r="X506" s="7"/>
      <c r="Y506" s="7"/>
      <c r="Z506" s="7"/>
      <c r="AA506" s="7"/>
    </row>
    <row r="507" spans="1:27" ht="16.5">
      <c r="A507" s="1"/>
      <c r="L507" s="1"/>
      <c r="M507" s="54"/>
      <c r="O507" s="1"/>
      <c r="P507" s="1"/>
      <c r="U507" s="1"/>
      <c r="X507" s="7"/>
      <c r="Y507" s="7"/>
      <c r="Z507" s="7"/>
      <c r="AA507" s="7"/>
    </row>
    <row r="508" spans="1:27" ht="16.5">
      <c r="A508" s="1"/>
      <c r="L508" s="1"/>
      <c r="M508" s="54"/>
      <c r="O508" s="1"/>
      <c r="P508" s="1"/>
      <c r="U508" s="1"/>
      <c r="X508" s="7"/>
      <c r="Y508" s="7"/>
      <c r="Z508" s="7"/>
      <c r="AA508" s="7"/>
    </row>
    <row r="509" spans="1:27" ht="16.5">
      <c r="A509" s="1"/>
      <c r="L509" s="1"/>
      <c r="M509" s="54"/>
      <c r="O509" s="1"/>
      <c r="P509" s="1"/>
      <c r="U509" s="1"/>
      <c r="X509" s="7"/>
      <c r="Y509" s="7"/>
      <c r="Z509" s="7"/>
      <c r="AA509" s="7"/>
    </row>
    <row r="510" spans="1:27" ht="16.5">
      <c r="A510" s="1"/>
      <c r="L510" s="1"/>
      <c r="M510" s="54"/>
      <c r="O510" s="1"/>
      <c r="P510" s="1"/>
      <c r="U510" s="1"/>
      <c r="X510" s="7"/>
      <c r="Y510" s="7"/>
      <c r="Z510" s="7"/>
      <c r="AA510" s="7"/>
    </row>
    <row r="511" spans="1:27" ht="16.5">
      <c r="A511" s="1"/>
      <c r="L511" s="1"/>
      <c r="M511" s="54"/>
      <c r="O511" s="1"/>
      <c r="P511" s="1"/>
      <c r="U511" s="1"/>
      <c r="X511" s="7"/>
      <c r="Y511" s="7"/>
      <c r="Z511" s="7"/>
      <c r="AA511" s="7"/>
    </row>
    <row r="512" spans="1:27" ht="16.5">
      <c r="A512" s="1"/>
      <c r="L512" s="1"/>
      <c r="M512" s="54"/>
      <c r="O512" s="1"/>
      <c r="P512" s="1"/>
      <c r="U512" s="1"/>
      <c r="X512" s="7"/>
      <c r="Y512" s="7"/>
      <c r="Z512" s="7"/>
      <c r="AA512" s="7"/>
    </row>
    <row r="513" spans="1:27" ht="16.5">
      <c r="A513" s="1"/>
      <c r="L513" s="1"/>
      <c r="M513" s="54"/>
      <c r="O513" s="1"/>
      <c r="P513" s="1"/>
      <c r="U513" s="1"/>
      <c r="X513" s="7"/>
      <c r="Y513" s="7"/>
      <c r="Z513" s="7"/>
      <c r="AA513" s="7"/>
    </row>
    <row r="514" spans="1:27" ht="16.5">
      <c r="A514" s="1"/>
      <c r="L514" s="1"/>
      <c r="M514" s="54"/>
      <c r="O514" s="1"/>
      <c r="P514" s="1"/>
      <c r="U514" s="1"/>
      <c r="X514" s="7"/>
      <c r="Y514" s="7"/>
      <c r="Z514" s="7"/>
      <c r="AA514" s="7"/>
    </row>
    <row r="515" spans="1:27" ht="16.5">
      <c r="A515" s="1"/>
      <c r="L515" s="1"/>
      <c r="M515" s="54"/>
      <c r="O515" s="1"/>
      <c r="P515" s="1"/>
      <c r="U515" s="1"/>
      <c r="X515" s="7"/>
      <c r="Y515" s="7"/>
      <c r="Z515" s="7"/>
      <c r="AA515" s="7"/>
    </row>
    <row r="516" spans="1:27" ht="16.5">
      <c r="A516" s="1"/>
      <c r="L516" s="1"/>
      <c r="M516" s="54"/>
      <c r="O516" s="1"/>
      <c r="P516" s="1"/>
      <c r="U516" s="1"/>
      <c r="X516" s="7"/>
      <c r="Y516" s="7"/>
      <c r="Z516" s="7"/>
      <c r="AA516" s="7"/>
    </row>
    <row r="517" spans="1:27" ht="16.5">
      <c r="A517" s="1"/>
      <c r="L517" s="1"/>
      <c r="M517" s="54"/>
      <c r="O517" s="1"/>
      <c r="P517" s="1"/>
      <c r="U517" s="1"/>
      <c r="X517" s="7"/>
      <c r="Y517" s="7"/>
      <c r="Z517" s="7"/>
      <c r="AA517" s="7"/>
    </row>
    <row r="518" spans="1:27" ht="16.5">
      <c r="A518" s="1"/>
      <c r="L518" s="1"/>
      <c r="M518" s="54"/>
      <c r="O518" s="1"/>
      <c r="P518" s="1"/>
      <c r="U518" s="1"/>
      <c r="X518" s="7"/>
      <c r="Y518" s="7"/>
      <c r="Z518" s="7"/>
      <c r="AA518" s="7"/>
    </row>
    <row r="519" spans="1:27" ht="16.5">
      <c r="A519" s="1"/>
      <c r="L519" s="1"/>
      <c r="M519" s="54"/>
      <c r="O519" s="1"/>
      <c r="P519" s="1"/>
      <c r="U519" s="1"/>
      <c r="X519" s="7"/>
      <c r="Y519" s="7"/>
      <c r="Z519" s="7"/>
      <c r="AA519" s="7"/>
    </row>
    <row r="520" spans="1:27" ht="16.5">
      <c r="A520" s="1"/>
      <c r="L520" s="1"/>
      <c r="M520" s="54"/>
      <c r="O520" s="1"/>
      <c r="P520" s="1"/>
      <c r="U520" s="1"/>
      <c r="X520" s="7"/>
      <c r="Y520" s="7"/>
      <c r="Z520" s="7"/>
      <c r="AA520" s="7"/>
    </row>
    <row r="521" spans="1:27" ht="16.5">
      <c r="A521" s="1"/>
      <c r="L521" s="1"/>
      <c r="M521" s="54"/>
      <c r="O521" s="1"/>
      <c r="P521" s="1"/>
      <c r="U521" s="1"/>
      <c r="X521" s="7"/>
      <c r="Y521" s="7"/>
      <c r="Z521" s="7"/>
      <c r="AA521" s="7"/>
    </row>
    <row r="522" spans="1:27" ht="16.5">
      <c r="A522" s="1"/>
      <c r="L522" s="1"/>
      <c r="M522" s="54"/>
      <c r="O522" s="1"/>
      <c r="P522" s="1"/>
      <c r="U522" s="1"/>
      <c r="X522" s="7"/>
      <c r="Y522" s="7"/>
      <c r="Z522" s="7"/>
      <c r="AA522" s="7"/>
    </row>
    <row r="523" spans="1:27" ht="16.5">
      <c r="A523" s="1"/>
      <c r="L523" s="1"/>
      <c r="M523" s="54"/>
      <c r="O523" s="1"/>
      <c r="P523" s="1"/>
      <c r="U523" s="1"/>
      <c r="X523" s="7"/>
      <c r="Y523" s="7"/>
      <c r="Z523" s="7"/>
      <c r="AA523" s="7"/>
    </row>
    <row r="524" spans="1:27" ht="16.5">
      <c r="A524" s="1"/>
      <c r="L524" s="1"/>
      <c r="M524" s="54"/>
      <c r="O524" s="1"/>
      <c r="P524" s="1"/>
      <c r="U524" s="1"/>
      <c r="X524" s="7"/>
      <c r="Y524" s="7"/>
      <c r="Z524" s="7"/>
      <c r="AA524" s="7"/>
    </row>
    <row r="525" spans="1:27" ht="16.5">
      <c r="A525" s="1"/>
      <c r="L525" s="1"/>
      <c r="M525" s="54"/>
      <c r="O525" s="1"/>
      <c r="P525" s="1"/>
      <c r="U525" s="1"/>
      <c r="X525" s="7"/>
      <c r="Y525" s="7"/>
      <c r="Z525" s="7"/>
      <c r="AA525" s="7"/>
    </row>
    <row r="526" spans="1:27" ht="16.5">
      <c r="A526" s="1"/>
      <c r="L526" s="1"/>
      <c r="M526" s="54"/>
      <c r="O526" s="1"/>
      <c r="P526" s="1"/>
      <c r="U526" s="1"/>
      <c r="X526" s="7"/>
      <c r="Y526" s="7"/>
      <c r="Z526" s="7"/>
      <c r="AA526" s="7"/>
    </row>
    <row r="527" spans="1:27" ht="16.5">
      <c r="A527" s="1"/>
      <c r="L527" s="1"/>
      <c r="M527" s="54"/>
      <c r="O527" s="1"/>
      <c r="P527" s="1"/>
      <c r="U527" s="1"/>
      <c r="X527" s="7"/>
      <c r="Y527" s="7"/>
      <c r="Z527" s="7"/>
      <c r="AA527" s="7"/>
    </row>
    <row r="528" spans="1:27" ht="16.5">
      <c r="A528" s="1"/>
      <c r="L528" s="1"/>
      <c r="M528" s="54"/>
      <c r="O528" s="1"/>
      <c r="P528" s="1"/>
      <c r="U528" s="1"/>
      <c r="X528" s="7"/>
      <c r="Y528" s="7"/>
      <c r="Z528" s="7"/>
      <c r="AA528" s="7"/>
    </row>
    <row r="529" spans="1:27" ht="16.5">
      <c r="A529" s="1"/>
      <c r="L529" s="1"/>
      <c r="M529" s="54"/>
      <c r="O529" s="1"/>
      <c r="P529" s="1"/>
      <c r="U529" s="1"/>
      <c r="X529" s="7"/>
      <c r="Y529" s="7"/>
      <c r="Z529" s="7"/>
      <c r="AA529" s="7"/>
    </row>
    <row r="530" spans="1:27" ht="16.5">
      <c r="A530" s="1"/>
      <c r="L530" s="1"/>
      <c r="M530" s="54"/>
      <c r="O530" s="1"/>
      <c r="P530" s="1"/>
      <c r="U530" s="1"/>
      <c r="X530" s="7"/>
      <c r="Y530" s="7"/>
      <c r="Z530" s="7"/>
      <c r="AA530" s="7"/>
    </row>
    <row r="531" spans="1:27" ht="16.5">
      <c r="A531" s="1"/>
      <c r="L531" s="1"/>
      <c r="M531" s="54"/>
      <c r="O531" s="1"/>
      <c r="P531" s="1"/>
      <c r="U531" s="1"/>
      <c r="X531" s="7"/>
      <c r="Y531" s="7"/>
      <c r="Z531" s="7"/>
      <c r="AA531" s="7"/>
    </row>
    <row r="532" spans="1:27" ht="16.5">
      <c r="A532" s="1"/>
      <c r="L532" s="1"/>
      <c r="M532" s="54"/>
      <c r="O532" s="1"/>
      <c r="P532" s="1"/>
      <c r="U532" s="1"/>
      <c r="X532" s="7"/>
      <c r="Y532" s="7"/>
      <c r="Z532" s="7"/>
      <c r="AA532" s="7"/>
    </row>
    <row r="533" spans="1:27" ht="16.5">
      <c r="A533" s="1"/>
      <c r="L533" s="1"/>
      <c r="M533" s="54"/>
      <c r="O533" s="1"/>
      <c r="P533" s="1"/>
      <c r="U533" s="1"/>
      <c r="X533" s="7"/>
      <c r="Y533" s="7"/>
      <c r="Z533" s="7"/>
      <c r="AA533" s="7"/>
    </row>
    <row r="534" spans="1:27" ht="16.5">
      <c r="A534" s="1"/>
      <c r="L534" s="1"/>
      <c r="M534" s="54"/>
      <c r="O534" s="1"/>
      <c r="P534" s="1"/>
      <c r="U534" s="1"/>
      <c r="X534" s="7"/>
      <c r="Y534" s="7"/>
      <c r="Z534" s="7"/>
      <c r="AA534" s="7"/>
    </row>
    <row r="535" spans="1:27" ht="16.5">
      <c r="A535" s="1"/>
      <c r="L535" s="1"/>
      <c r="M535" s="54"/>
      <c r="O535" s="1"/>
      <c r="P535" s="1"/>
      <c r="U535" s="1"/>
      <c r="X535" s="7"/>
      <c r="Y535" s="7"/>
      <c r="Z535" s="7"/>
      <c r="AA535" s="7"/>
    </row>
    <row r="536" spans="1:27" ht="16.5">
      <c r="A536" s="1"/>
      <c r="L536" s="1"/>
      <c r="M536" s="54"/>
      <c r="O536" s="1"/>
      <c r="P536" s="1"/>
      <c r="U536" s="1"/>
      <c r="X536" s="7"/>
      <c r="Y536" s="7"/>
      <c r="Z536" s="7"/>
      <c r="AA536" s="7"/>
    </row>
    <row r="537" spans="1:27" ht="16.5">
      <c r="A537" s="1"/>
      <c r="L537" s="1"/>
      <c r="M537" s="54"/>
      <c r="O537" s="1"/>
      <c r="P537" s="1"/>
      <c r="U537" s="1"/>
      <c r="X537" s="7"/>
      <c r="Y537" s="7"/>
      <c r="Z537" s="7"/>
      <c r="AA537" s="7"/>
    </row>
    <row r="538" spans="1:27" ht="16.5">
      <c r="A538" s="1"/>
      <c r="L538" s="1"/>
      <c r="M538" s="54"/>
      <c r="O538" s="1"/>
      <c r="P538" s="1"/>
      <c r="U538" s="1"/>
      <c r="X538" s="7"/>
      <c r="Y538" s="7"/>
      <c r="Z538" s="7"/>
      <c r="AA538" s="7"/>
    </row>
    <row r="539" spans="1:27" ht="16.5">
      <c r="A539" s="1"/>
      <c r="L539" s="1"/>
      <c r="M539" s="54"/>
      <c r="O539" s="1"/>
      <c r="P539" s="1"/>
      <c r="U539" s="1"/>
      <c r="X539" s="7"/>
      <c r="Y539" s="7"/>
      <c r="Z539" s="7"/>
      <c r="AA539" s="7"/>
    </row>
    <row r="540" spans="1:27" ht="16.5">
      <c r="A540" s="1"/>
      <c r="L540" s="1"/>
      <c r="M540" s="54"/>
      <c r="O540" s="1"/>
      <c r="P540" s="1"/>
      <c r="U540" s="1"/>
      <c r="X540" s="7"/>
      <c r="Y540" s="7"/>
      <c r="Z540" s="7"/>
      <c r="AA540" s="7"/>
    </row>
    <row r="541" spans="1:27" ht="16.5">
      <c r="A541" s="1"/>
      <c r="L541" s="1"/>
      <c r="M541" s="54"/>
      <c r="O541" s="1"/>
      <c r="P541" s="1"/>
      <c r="U541" s="1"/>
      <c r="X541" s="7"/>
      <c r="Y541" s="7"/>
      <c r="Z541" s="7"/>
      <c r="AA541" s="7"/>
    </row>
    <row r="542" spans="1:27" ht="16.5">
      <c r="A542" s="1"/>
      <c r="L542" s="1"/>
      <c r="M542" s="54"/>
      <c r="O542" s="1"/>
      <c r="P542" s="1"/>
      <c r="U542" s="1"/>
      <c r="X542" s="7"/>
      <c r="Y542" s="7"/>
      <c r="Z542" s="7"/>
      <c r="AA542" s="7"/>
    </row>
    <row r="543" spans="1:27" ht="16.5">
      <c r="A543" s="1"/>
      <c r="L543" s="1"/>
      <c r="M543" s="54"/>
      <c r="O543" s="1"/>
      <c r="P543" s="1"/>
      <c r="U543" s="1"/>
      <c r="X543" s="7"/>
      <c r="Y543" s="7"/>
      <c r="Z543" s="7"/>
      <c r="AA543" s="7"/>
    </row>
    <row r="544" spans="1:27" ht="16.5">
      <c r="A544" s="1"/>
      <c r="L544" s="1"/>
      <c r="M544" s="54"/>
      <c r="O544" s="1"/>
      <c r="P544" s="1"/>
      <c r="U544" s="1"/>
      <c r="X544" s="7"/>
      <c r="Y544" s="7"/>
      <c r="Z544" s="7"/>
      <c r="AA544" s="7"/>
    </row>
    <row r="545" spans="1:27" ht="16.5">
      <c r="A545" s="1"/>
      <c r="L545" s="1"/>
      <c r="M545" s="54"/>
      <c r="O545" s="1"/>
      <c r="P545" s="1"/>
      <c r="U545" s="1"/>
      <c r="X545" s="7"/>
      <c r="Y545" s="7"/>
      <c r="Z545" s="7"/>
      <c r="AA545" s="7"/>
    </row>
    <row r="546" spans="1:27" ht="16.5">
      <c r="A546" s="1"/>
      <c r="L546" s="1"/>
      <c r="M546" s="54"/>
      <c r="O546" s="1"/>
      <c r="P546" s="1"/>
      <c r="U546" s="1"/>
      <c r="X546" s="7"/>
      <c r="Y546" s="7"/>
      <c r="Z546" s="7"/>
      <c r="AA546" s="7"/>
    </row>
    <row r="547" spans="1:27" ht="16.5">
      <c r="A547" s="1"/>
      <c r="L547" s="1"/>
      <c r="M547" s="54"/>
      <c r="O547" s="1"/>
      <c r="P547" s="1"/>
      <c r="U547" s="1"/>
      <c r="X547" s="7"/>
      <c r="Y547" s="7"/>
      <c r="Z547" s="7"/>
      <c r="AA547" s="7"/>
    </row>
    <row r="548" spans="1:27" ht="16.5">
      <c r="A548" s="1"/>
      <c r="L548" s="1"/>
      <c r="M548" s="54"/>
      <c r="O548" s="1"/>
      <c r="P548" s="1"/>
      <c r="U548" s="1"/>
      <c r="X548" s="7"/>
      <c r="Y548" s="7"/>
      <c r="Z548" s="7"/>
      <c r="AA548" s="7"/>
    </row>
    <row r="549" spans="1:27" ht="16.5">
      <c r="A549" s="1"/>
      <c r="L549" s="1"/>
      <c r="M549" s="54"/>
      <c r="O549" s="1"/>
      <c r="P549" s="1"/>
      <c r="U549" s="1"/>
      <c r="X549" s="7"/>
      <c r="Y549" s="7"/>
      <c r="Z549" s="7"/>
      <c r="AA549" s="7"/>
    </row>
    <row r="550" spans="1:27" ht="16.5">
      <c r="A550" s="1"/>
      <c r="L550" s="1"/>
      <c r="M550" s="54"/>
      <c r="O550" s="1"/>
      <c r="P550" s="1"/>
      <c r="U550" s="1"/>
      <c r="X550" s="7"/>
      <c r="Y550" s="7"/>
      <c r="Z550" s="7"/>
      <c r="AA550" s="7"/>
    </row>
    <row r="551" spans="1:27" ht="16.5">
      <c r="A551" s="1"/>
      <c r="L551" s="1"/>
      <c r="M551" s="54"/>
      <c r="O551" s="1"/>
      <c r="P551" s="1"/>
      <c r="U551" s="1"/>
      <c r="X551" s="7"/>
      <c r="Y551" s="7"/>
      <c r="Z551" s="7"/>
      <c r="AA551" s="7"/>
    </row>
    <row r="552" spans="1:27" ht="16.5">
      <c r="A552" s="1"/>
      <c r="L552" s="1"/>
      <c r="M552" s="54"/>
      <c r="O552" s="1"/>
      <c r="P552" s="1"/>
      <c r="U552" s="1"/>
      <c r="X552" s="7"/>
      <c r="Y552" s="7"/>
      <c r="Z552" s="7"/>
      <c r="AA552" s="7"/>
    </row>
    <row r="553" spans="1:27" ht="16.5">
      <c r="A553" s="1"/>
      <c r="L553" s="1"/>
      <c r="M553" s="54"/>
      <c r="O553" s="1"/>
      <c r="P553" s="1"/>
      <c r="U553" s="1"/>
      <c r="X553" s="7"/>
      <c r="Y553" s="7"/>
      <c r="Z553" s="7"/>
      <c r="AA553" s="7"/>
    </row>
    <row r="554" spans="1:27" ht="16.5">
      <c r="A554" s="1"/>
      <c r="L554" s="1"/>
      <c r="M554" s="54"/>
      <c r="O554" s="1"/>
      <c r="P554" s="1"/>
      <c r="U554" s="1"/>
      <c r="X554" s="7"/>
      <c r="Y554" s="7"/>
      <c r="Z554" s="7"/>
      <c r="AA554" s="7"/>
    </row>
    <row r="555" spans="1:27" ht="16.5">
      <c r="A555" s="1"/>
      <c r="L555" s="1"/>
      <c r="M555" s="54"/>
      <c r="O555" s="1"/>
      <c r="P555" s="1"/>
      <c r="U555" s="1"/>
      <c r="X555" s="7"/>
      <c r="Y555" s="7"/>
      <c r="Z555" s="7"/>
      <c r="AA555" s="7"/>
    </row>
    <row r="556" spans="1:27" ht="16.5">
      <c r="A556" s="1"/>
      <c r="L556" s="1"/>
      <c r="M556" s="54"/>
      <c r="O556" s="1"/>
      <c r="P556" s="1"/>
      <c r="U556" s="1"/>
      <c r="X556" s="7"/>
      <c r="Y556" s="7"/>
      <c r="Z556" s="7"/>
      <c r="AA556" s="7"/>
    </row>
    <row r="557" spans="1:27" ht="16.5">
      <c r="A557" s="1"/>
      <c r="L557" s="1"/>
      <c r="M557" s="54"/>
      <c r="O557" s="1"/>
      <c r="P557" s="1"/>
      <c r="U557" s="1"/>
      <c r="X557" s="7"/>
      <c r="Y557" s="7"/>
      <c r="Z557" s="7"/>
      <c r="AA557" s="7"/>
    </row>
    <row r="558" spans="1:27" ht="16.5">
      <c r="A558" s="1"/>
      <c r="L558" s="1"/>
      <c r="M558" s="54"/>
      <c r="O558" s="1"/>
      <c r="P558" s="1"/>
      <c r="U558" s="1"/>
      <c r="X558" s="7"/>
      <c r="Y558" s="7"/>
      <c r="Z558" s="7"/>
      <c r="AA558" s="7"/>
    </row>
    <row r="559" spans="1:27" ht="16.5">
      <c r="A559" s="1"/>
      <c r="L559" s="1"/>
      <c r="M559" s="54"/>
      <c r="O559" s="1"/>
      <c r="P559" s="1"/>
      <c r="U559" s="1"/>
      <c r="X559" s="7"/>
      <c r="Y559" s="7"/>
      <c r="Z559" s="7"/>
      <c r="AA559" s="7"/>
    </row>
    <row r="560" spans="1:27" ht="16.5">
      <c r="A560" s="1"/>
      <c r="L560" s="1"/>
      <c r="M560" s="54"/>
      <c r="O560" s="1"/>
      <c r="P560" s="1"/>
      <c r="U560" s="1"/>
      <c r="X560" s="7"/>
      <c r="Y560" s="7"/>
      <c r="Z560" s="7"/>
      <c r="AA560" s="7"/>
    </row>
    <row r="561" spans="1:27" ht="16.5">
      <c r="A561" s="1"/>
      <c r="L561" s="1"/>
      <c r="M561" s="54"/>
      <c r="O561" s="1"/>
      <c r="P561" s="1"/>
      <c r="U561" s="1"/>
      <c r="X561" s="7"/>
      <c r="Y561" s="7"/>
      <c r="Z561" s="7"/>
      <c r="AA561" s="7"/>
    </row>
    <row r="562" spans="1:27" ht="16.5">
      <c r="A562" s="1"/>
      <c r="L562" s="1"/>
      <c r="M562" s="54"/>
      <c r="O562" s="1"/>
      <c r="P562" s="1"/>
      <c r="U562" s="1"/>
      <c r="X562" s="7"/>
      <c r="Y562" s="7"/>
      <c r="Z562" s="7"/>
      <c r="AA562" s="7"/>
    </row>
    <row r="563" spans="1:27" ht="16.5">
      <c r="A563" s="1"/>
      <c r="L563" s="1"/>
      <c r="M563" s="54"/>
      <c r="O563" s="1"/>
      <c r="P563" s="1"/>
      <c r="U563" s="1"/>
      <c r="X563" s="7"/>
      <c r="Y563" s="7"/>
      <c r="Z563" s="7"/>
      <c r="AA563" s="7"/>
    </row>
    <row r="564" spans="1:27" ht="16.5">
      <c r="A564" s="1"/>
      <c r="L564" s="1"/>
      <c r="M564" s="54"/>
      <c r="O564" s="1"/>
      <c r="P564" s="1"/>
      <c r="U564" s="1"/>
      <c r="X564" s="7"/>
      <c r="Y564" s="7"/>
      <c r="Z564" s="7"/>
      <c r="AA564" s="7"/>
    </row>
    <row r="565" spans="1:27" ht="16.5">
      <c r="A565" s="1"/>
      <c r="L565" s="1"/>
      <c r="M565" s="54"/>
      <c r="O565" s="1"/>
      <c r="P565" s="1"/>
      <c r="U565" s="1"/>
      <c r="X565" s="7"/>
      <c r="Y565" s="7"/>
      <c r="Z565" s="7"/>
      <c r="AA565" s="7"/>
    </row>
    <row r="566" spans="1:27" ht="16.5">
      <c r="A566" s="1"/>
      <c r="L566" s="1"/>
      <c r="M566" s="54"/>
      <c r="O566" s="1"/>
      <c r="P566" s="1"/>
      <c r="U566" s="1"/>
      <c r="X566" s="7"/>
      <c r="Y566" s="7"/>
      <c r="Z566" s="7"/>
      <c r="AA566" s="7"/>
    </row>
    <row r="567" spans="1:27" ht="16.5">
      <c r="A567" s="1"/>
      <c r="L567" s="1"/>
      <c r="M567" s="54"/>
      <c r="O567" s="1"/>
      <c r="P567" s="1"/>
      <c r="U567" s="1"/>
      <c r="X567" s="7"/>
      <c r="Y567" s="7"/>
      <c r="Z567" s="7"/>
      <c r="AA567" s="7"/>
    </row>
    <row r="568" spans="1:27" ht="16.5">
      <c r="A568" s="1"/>
      <c r="L568" s="1"/>
      <c r="M568" s="54"/>
      <c r="O568" s="1"/>
      <c r="P568" s="1"/>
      <c r="U568" s="1"/>
      <c r="X568" s="7"/>
      <c r="Y568" s="7"/>
      <c r="Z568" s="7"/>
      <c r="AA568" s="7"/>
    </row>
    <row r="569" spans="1:27" ht="16.5">
      <c r="A569" s="1"/>
      <c r="L569" s="1"/>
      <c r="M569" s="54"/>
      <c r="O569" s="1"/>
      <c r="P569" s="1"/>
      <c r="U569" s="1"/>
      <c r="X569" s="7"/>
      <c r="Y569" s="7"/>
      <c r="Z569" s="7"/>
      <c r="AA569" s="7"/>
    </row>
    <row r="570" spans="1:27" ht="16.5">
      <c r="A570" s="1"/>
      <c r="L570" s="1"/>
      <c r="M570" s="54"/>
      <c r="O570" s="1"/>
      <c r="P570" s="1"/>
      <c r="U570" s="1"/>
      <c r="X570" s="7"/>
      <c r="Y570" s="7"/>
      <c r="Z570" s="7"/>
      <c r="AA570" s="7"/>
    </row>
    <row r="571" spans="1:27" ht="16.5">
      <c r="A571" s="1"/>
      <c r="L571" s="1"/>
      <c r="M571" s="54"/>
      <c r="O571" s="1"/>
      <c r="P571" s="1"/>
      <c r="U571" s="1"/>
      <c r="X571" s="7"/>
      <c r="Y571" s="7"/>
      <c r="Z571" s="7"/>
      <c r="AA571" s="7"/>
    </row>
    <row r="572" spans="1:27" ht="16.5">
      <c r="A572" s="1"/>
      <c r="L572" s="1"/>
      <c r="M572" s="54"/>
      <c r="O572" s="1"/>
      <c r="P572" s="1"/>
      <c r="U572" s="1"/>
      <c r="X572" s="7"/>
      <c r="Y572" s="7"/>
      <c r="Z572" s="7"/>
      <c r="AA572" s="7"/>
    </row>
    <row r="573" spans="1:27" ht="16.5">
      <c r="A573" s="1"/>
      <c r="L573" s="1"/>
      <c r="M573" s="54"/>
      <c r="O573" s="1"/>
      <c r="P573" s="1"/>
      <c r="U573" s="1"/>
      <c r="X573" s="7"/>
      <c r="Y573" s="7"/>
      <c r="Z573" s="7"/>
      <c r="AA573" s="7"/>
    </row>
    <row r="574" spans="1:27" ht="16.5">
      <c r="A574" s="1"/>
      <c r="L574" s="1"/>
      <c r="M574" s="54"/>
      <c r="O574" s="1"/>
      <c r="P574" s="1"/>
      <c r="U574" s="1"/>
      <c r="X574" s="7"/>
      <c r="Y574" s="7"/>
      <c r="Z574" s="7"/>
      <c r="AA574" s="7"/>
    </row>
    <row r="575" spans="1:27" ht="16.5">
      <c r="A575" s="1"/>
      <c r="L575" s="1"/>
      <c r="M575" s="54"/>
      <c r="O575" s="1"/>
      <c r="P575" s="1"/>
      <c r="U575" s="1"/>
      <c r="X575" s="7"/>
      <c r="Y575" s="7"/>
      <c r="Z575" s="7"/>
      <c r="AA575" s="7"/>
    </row>
    <row r="576" spans="1:27" ht="16.5">
      <c r="A576" s="1"/>
      <c r="L576" s="1"/>
      <c r="M576" s="54"/>
      <c r="O576" s="1"/>
      <c r="P576" s="1"/>
      <c r="U576" s="1"/>
      <c r="X576" s="7"/>
      <c r="Y576" s="7"/>
      <c r="Z576" s="7"/>
      <c r="AA576" s="7"/>
    </row>
    <row r="577" spans="1:27" ht="16.5">
      <c r="A577" s="1"/>
      <c r="L577" s="1"/>
      <c r="M577" s="54"/>
      <c r="O577" s="1"/>
      <c r="P577" s="1"/>
      <c r="U577" s="1"/>
      <c r="X577" s="7"/>
      <c r="Y577" s="7"/>
      <c r="Z577" s="7"/>
      <c r="AA577" s="7"/>
    </row>
    <row r="578" spans="1:27" ht="16.5">
      <c r="A578" s="1"/>
      <c r="L578" s="1"/>
      <c r="M578" s="54"/>
      <c r="O578" s="1"/>
      <c r="P578" s="1"/>
      <c r="U578" s="1"/>
      <c r="X578" s="7"/>
      <c r="Y578" s="7"/>
      <c r="Z578" s="7"/>
      <c r="AA578" s="7"/>
    </row>
    <row r="579" spans="1:27" ht="16.5">
      <c r="A579" s="1"/>
      <c r="L579" s="1"/>
      <c r="M579" s="54"/>
      <c r="O579" s="1"/>
      <c r="P579" s="1"/>
      <c r="U579" s="1"/>
      <c r="X579" s="7"/>
      <c r="Y579" s="7"/>
      <c r="Z579" s="7"/>
      <c r="AA579" s="7"/>
    </row>
    <row r="580" spans="1:27" ht="16.5">
      <c r="A580" s="1"/>
      <c r="L580" s="1"/>
      <c r="M580" s="54"/>
      <c r="O580" s="1"/>
      <c r="P580" s="1"/>
      <c r="U580" s="1"/>
      <c r="X580" s="7"/>
      <c r="Y580" s="7"/>
      <c r="Z580" s="7"/>
      <c r="AA580" s="7"/>
    </row>
    <row r="581" spans="1:27" ht="16.5">
      <c r="A581" s="1"/>
      <c r="L581" s="1"/>
      <c r="M581" s="54"/>
      <c r="O581" s="1"/>
      <c r="P581" s="1"/>
      <c r="U581" s="1"/>
      <c r="X581" s="7"/>
      <c r="Y581" s="7"/>
      <c r="Z581" s="7"/>
      <c r="AA581" s="7"/>
    </row>
    <row r="582" spans="1:27" ht="16.5">
      <c r="A582" s="1"/>
      <c r="L582" s="1"/>
      <c r="M582" s="54"/>
      <c r="O582" s="1"/>
      <c r="P582" s="1"/>
      <c r="U582" s="1"/>
      <c r="X582" s="7"/>
      <c r="Y582" s="7"/>
      <c r="Z582" s="7"/>
      <c r="AA582" s="7"/>
    </row>
    <row r="583" spans="1:27" ht="16.5">
      <c r="A583" s="1"/>
      <c r="L583" s="1"/>
      <c r="M583" s="54"/>
      <c r="O583" s="1"/>
      <c r="P583" s="1"/>
      <c r="U583" s="1"/>
      <c r="X583" s="7"/>
      <c r="Y583" s="7"/>
      <c r="Z583" s="7"/>
      <c r="AA583" s="7"/>
    </row>
    <row r="584" spans="1:27" ht="16.5">
      <c r="A584" s="1"/>
      <c r="L584" s="1"/>
      <c r="M584" s="54"/>
      <c r="O584" s="1"/>
      <c r="P584" s="1"/>
      <c r="U584" s="1"/>
      <c r="X584" s="7"/>
      <c r="Y584" s="7"/>
      <c r="Z584" s="7"/>
      <c r="AA584" s="7"/>
    </row>
    <row r="585" spans="1:27" ht="16.5">
      <c r="A585" s="1"/>
      <c r="L585" s="1"/>
      <c r="M585" s="54"/>
      <c r="O585" s="1"/>
      <c r="P585" s="1"/>
      <c r="U585" s="1"/>
      <c r="X585" s="7"/>
      <c r="Y585" s="7"/>
      <c r="Z585" s="7"/>
      <c r="AA585" s="7"/>
    </row>
    <row r="586" spans="1:27" ht="16.5">
      <c r="A586" s="1"/>
      <c r="L586" s="1"/>
      <c r="M586" s="54"/>
      <c r="O586" s="1"/>
      <c r="P586" s="1"/>
      <c r="U586" s="1"/>
      <c r="X586" s="7"/>
      <c r="Y586" s="7"/>
      <c r="Z586" s="7"/>
      <c r="AA586" s="7"/>
    </row>
    <row r="587" spans="1:27" ht="16.5">
      <c r="A587" s="1"/>
      <c r="L587" s="1"/>
      <c r="M587" s="54"/>
      <c r="O587" s="1"/>
      <c r="P587" s="1"/>
      <c r="U587" s="1"/>
      <c r="X587" s="7"/>
      <c r="Y587" s="7"/>
      <c r="Z587" s="7"/>
      <c r="AA587" s="7"/>
    </row>
    <row r="588" spans="1:27" ht="16.5">
      <c r="A588" s="1"/>
      <c r="L588" s="1"/>
      <c r="M588" s="54"/>
      <c r="O588" s="1"/>
      <c r="P588" s="1"/>
      <c r="U588" s="1"/>
      <c r="X588" s="7"/>
      <c r="Y588" s="7"/>
      <c r="Z588" s="7"/>
      <c r="AA588" s="7"/>
    </row>
    <row r="589" spans="1:27" ht="16.5">
      <c r="A589" s="1"/>
      <c r="L589" s="1"/>
      <c r="M589" s="54"/>
      <c r="O589" s="1"/>
      <c r="P589" s="1"/>
      <c r="U589" s="1"/>
      <c r="X589" s="7"/>
      <c r="Y589" s="7"/>
      <c r="Z589" s="7"/>
      <c r="AA589" s="7"/>
    </row>
    <row r="590" spans="1:27" ht="16.5">
      <c r="A590" s="1"/>
      <c r="L590" s="1"/>
      <c r="M590" s="54"/>
      <c r="O590" s="1"/>
      <c r="P590" s="1"/>
      <c r="U590" s="1"/>
      <c r="X590" s="7"/>
      <c r="Y590" s="7"/>
      <c r="Z590" s="7"/>
      <c r="AA590" s="7"/>
    </row>
    <row r="591" spans="1:27" ht="16.5">
      <c r="A591" s="1"/>
      <c r="L591" s="1"/>
      <c r="M591" s="54"/>
      <c r="O591" s="1"/>
      <c r="P591" s="1"/>
      <c r="U591" s="1"/>
      <c r="X591" s="7"/>
      <c r="Y591" s="7"/>
      <c r="Z591" s="7"/>
      <c r="AA591" s="7"/>
    </row>
    <row r="592" spans="1:27" ht="16.5">
      <c r="A592" s="1"/>
      <c r="L592" s="1"/>
      <c r="M592" s="54"/>
      <c r="O592" s="1"/>
      <c r="P592" s="1"/>
      <c r="U592" s="1"/>
      <c r="X592" s="7"/>
      <c r="Y592" s="7"/>
      <c r="Z592" s="7"/>
      <c r="AA592" s="7"/>
    </row>
    <row r="593" spans="1:27" ht="16.5">
      <c r="A593" s="1"/>
      <c r="L593" s="1"/>
      <c r="M593" s="54"/>
      <c r="O593" s="1"/>
      <c r="P593" s="1"/>
      <c r="U593" s="1"/>
      <c r="X593" s="7"/>
      <c r="Y593" s="7"/>
      <c r="Z593" s="7"/>
      <c r="AA593" s="7"/>
    </row>
    <row r="594" spans="1:27" ht="16.5">
      <c r="A594" s="1"/>
      <c r="L594" s="1"/>
      <c r="M594" s="54"/>
      <c r="O594" s="1"/>
      <c r="P594" s="1"/>
      <c r="U594" s="1"/>
      <c r="X594" s="7"/>
      <c r="Y594" s="7"/>
      <c r="Z594" s="7"/>
      <c r="AA594" s="7"/>
    </row>
    <row r="595" spans="1:27" ht="16.5">
      <c r="A595" s="1"/>
      <c r="L595" s="1"/>
      <c r="M595" s="54"/>
      <c r="O595" s="1"/>
      <c r="P595" s="1"/>
      <c r="U595" s="1"/>
      <c r="X595" s="7"/>
      <c r="Y595" s="7"/>
      <c r="Z595" s="7"/>
      <c r="AA595" s="7"/>
    </row>
    <row r="596" spans="1:27" ht="16.5">
      <c r="A596" s="1"/>
      <c r="L596" s="1"/>
      <c r="M596" s="54"/>
      <c r="O596" s="1"/>
      <c r="P596" s="1"/>
      <c r="U596" s="1"/>
      <c r="X596" s="7"/>
      <c r="Y596" s="7"/>
      <c r="Z596" s="7"/>
      <c r="AA596" s="7"/>
    </row>
    <row r="597" spans="1:27" ht="16.5">
      <c r="A597" s="1"/>
      <c r="L597" s="1"/>
      <c r="M597" s="54"/>
      <c r="O597" s="1"/>
      <c r="P597" s="1"/>
      <c r="U597" s="1"/>
      <c r="X597" s="7"/>
      <c r="Y597" s="7"/>
      <c r="Z597" s="7"/>
      <c r="AA597" s="7"/>
    </row>
    <row r="598" spans="1:27" ht="16.5">
      <c r="A598" s="1"/>
      <c r="L598" s="1"/>
      <c r="M598" s="54"/>
      <c r="O598" s="1"/>
      <c r="P598" s="1"/>
      <c r="U598" s="1"/>
      <c r="X598" s="7"/>
      <c r="Y598" s="7"/>
      <c r="Z598" s="7"/>
      <c r="AA598" s="7"/>
    </row>
    <row r="599" spans="1:27" ht="16.5">
      <c r="A599" s="1"/>
      <c r="L599" s="1"/>
      <c r="M599" s="54"/>
      <c r="O599" s="1"/>
      <c r="P599" s="1"/>
      <c r="U599" s="1"/>
      <c r="X599" s="7"/>
      <c r="Y599" s="7"/>
      <c r="Z599" s="7"/>
      <c r="AA599" s="7"/>
    </row>
    <row r="600" spans="1:27" ht="16.5">
      <c r="A600" s="1"/>
      <c r="L600" s="1"/>
      <c r="M600" s="54"/>
      <c r="O600" s="1"/>
      <c r="P600" s="1"/>
      <c r="U600" s="1"/>
      <c r="X600" s="7"/>
      <c r="Y600" s="7"/>
      <c r="Z600" s="7"/>
      <c r="AA600" s="7"/>
    </row>
    <row r="601" spans="1:27" ht="16.5">
      <c r="A601" s="1"/>
      <c r="L601" s="1"/>
      <c r="M601" s="54"/>
      <c r="O601" s="1"/>
      <c r="P601" s="1"/>
      <c r="U601" s="1"/>
      <c r="X601" s="7"/>
      <c r="Y601" s="7"/>
      <c r="Z601" s="7"/>
      <c r="AA601" s="7"/>
    </row>
    <row r="602" spans="1:27" ht="16.5">
      <c r="A602" s="1"/>
      <c r="L602" s="1"/>
      <c r="M602" s="54"/>
      <c r="O602" s="1"/>
      <c r="P602" s="1"/>
      <c r="U602" s="1"/>
      <c r="X602" s="7"/>
      <c r="Y602" s="7"/>
      <c r="Z602" s="7"/>
      <c r="AA602" s="7"/>
    </row>
    <row r="603" spans="1:27" ht="16.5">
      <c r="A603" s="1"/>
      <c r="L603" s="1"/>
      <c r="M603" s="54"/>
      <c r="O603" s="1"/>
      <c r="P603" s="1"/>
      <c r="U603" s="1"/>
      <c r="X603" s="7"/>
      <c r="Y603" s="7"/>
      <c r="Z603" s="7"/>
      <c r="AA603" s="7"/>
    </row>
    <row r="604" spans="1:27" ht="16.5">
      <c r="A604" s="1"/>
      <c r="L604" s="1"/>
      <c r="M604" s="54"/>
      <c r="O604" s="1"/>
      <c r="P604" s="1"/>
      <c r="U604" s="1"/>
      <c r="X604" s="7"/>
      <c r="Y604" s="7"/>
      <c r="Z604" s="7"/>
      <c r="AA604" s="7"/>
    </row>
    <row r="605" spans="1:27" ht="16.5">
      <c r="A605" s="1"/>
      <c r="L605" s="1"/>
      <c r="M605" s="54"/>
      <c r="O605" s="1"/>
      <c r="P605" s="1"/>
      <c r="U605" s="1"/>
      <c r="X605" s="7"/>
      <c r="Y605" s="7"/>
      <c r="Z605" s="7"/>
      <c r="AA605" s="7"/>
    </row>
    <row r="606" spans="1:27" ht="16.5">
      <c r="A606" s="1"/>
      <c r="L606" s="1"/>
      <c r="M606" s="54"/>
      <c r="O606" s="1"/>
      <c r="P606" s="1"/>
      <c r="U606" s="1"/>
      <c r="X606" s="7"/>
      <c r="Y606" s="7"/>
      <c r="Z606" s="7"/>
      <c r="AA606" s="7"/>
    </row>
    <row r="607" spans="1:27" ht="16.5">
      <c r="A607" s="1"/>
      <c r="L607" s="1"/>
      <c r="M607" s="54"/>
      <c r="O607" s="1"/>
      <c r="P607" s="1"/>
      <c r="U607" s="1"/>
      <c r="X607" s="7"/>
      <c r="Y607" s="7"/>
      <c r="Z607" s="7"/>
      <c r="AA607" s="7"/>
    </row>
    <row r="608" spans="1:27" ht="16.5">
      <c r="A608" s="1"/>
      <c r="L608" s="1"/>
      <c r="M608" s="54"/>
      <c r="O608" s="1"/>
      <c r="P608" s="1"/>
      <c r="U608" s="1"/>
      <c r="X608" s="7"/>
      <c r="Y608" s="7"/>
      <c r="Z608" s="7"/>
      <c r="AA608" s="7"/>
    </row>
    <row r="609" spans="1:27" ht="16.5">
      <c r="A609" s="1"/>
      <c r="L609" s="1"/>
      <c r="M609" s="54"/>
      <c r="O609" s="1"/>
      <c r="P609" s="1"/>
      <c r="U609" s="1"/>
      <c r="X609" s="7"/>
      <c r="Y609" s="7"/>
      <c r="Z609" s="7"/>
      <c r="AA609" s="7"/>
    </row>
    <row r="610" spans="1:27" ht="16.5">
      <c r="A610" s="1"/>
      <c r="L610" s="1"/>
      <c r="M610" s="54"/>
      <c r="O610" s="1"/>
      <c r="P610" s="1"/>
      <c r="U610" s="1"/>
      <c r="X610" s="7"/>
      <c r="Y610" s="7"/>
      <c r="Z610" s="7"/>
      <c r="AA610" s="7"/>
    </row>
    <row r="611" spans="1:27" ht="16.5">
      <c r="A611" s="1"/>
      <c r="L611" s="1"/>
      <c r="M611" s="54"/>
      <c r="O611" s="1"/>
      <c r="P611" s="1"/>
      <c r="U611" s="1"/>
      <c r="X611" s="7"/>
      <c r="Y611" s="7"/>
      <c r="Z611" s="7"/>
      <c r="AA611" s="7"/>
    </row>
    <row r="612" spans="1:27" ht="16.5">
      <c r="A612" s="1"/>
      <c r="L612" s="1"/>
      <c r="M612" s="54"/>
      <c r="O612" s="1"/>
      <c r="P612" s="1"/>
      <c r="U612" s="1"/>
      <c r="X612" s="7"/>
      <c r="Y612" s="7"/>
      <c r="Z612" s="7"/>
      <c r="AA612" s="7"/>
    </row>
    <row r="613" spans="1:27" ht="16.5">
      <c r="A613" s="1"/>
      <c r="L613" s="1"/>
      <c r="M613" s="54"/>
      <c r="O613" s="1"/>
      <c r="P613" s="1"/>
      <c r="U613" s="1"/>
      <c r="X613" s="7"/>
      <c r="Y613" s="7"/>
      <c r="Z613" s="7"/>
      <c r="AA613" s="7"/>
    </row>
    <row r="614" spans="1:27" ht="16.5">
      <c r="A614" s="1"/>
      <c r="L614" s="1"/>
      <c r="M614" s="54"/>
      <c r="O614" s="1"/>
      <c r="P614" s="1"/>
      <c r="U614" s="1"/>
      <c r="X614" s="7"/>
      <c r="Y614" s="7"/>
      <c r="Z614" s="7"/>
      <c r="AA614" s="7"/>
    </row>
    <row r="615" spans="1:27" ht="16.5">
      <c r="A615" s="1"/>
      <c r="L615" s="1"/>
      <c r="M615" s="54"/>
      <c r="O615" s="1"/>
      <c r="P615" s="1"/>
      <c r="U615" s="1"/>
      <c r="X615" s="7"/>
      <c r="Y615" s="7"/>
      <c r="Z615" s="7"/>
      <c r="AA615" s="7"/>
    </row>
    <row r="616" spans="1:27" ht="16.5">
      <c r="A616" s="1"/>
      <c r="L616" s="1"/>
      <c r="M616" s="54"/>
      <c r="O616" s="1"/>
      <c r="P616" s="1"/>
      <c r="U616" s="1"/>
      <c r="X616" s="7"/>
      <c r="Y616" s="7"/>
      <c r="Z616" s="7"/>
      <c r="AA616" s="7"/>
    </row>
    <row r="617" spans="1:27" ht="16.5">
      <c r="A617" s="1"/>
      <c r="L617" s="1"/>
      <c r="M617" s="54"/>
      <c r="O617" s="1"/>
      <c r="P617" s="1"/>
      <c r="U617" s="1"/>
      <c r="X617" s="7"/>
      <c r="Y617" s="7"/>
      <c r="Z617" s="7"/>
      <c r="AA617" s="7"/>
    </row>
    <row r="618" spans="1:27" ht="16.5">
      <c r="A618" s="1"/>
      <c r="L618" s="1"/>
      <c r="M618" s="54"/>
      <c r="O618" s="1"/>
      <c r="P618" s="1"/>
      <c r="U618" s="1"/>
      <c r="X618" s="7"/>
      <c r="Y618" s="7"/>
      <c r="Z618" s="7"/>
      <c r="AA618" s="7"/>
    </row>
    <row r="619" spans="1:27" ht="16.5">
      <c r="A619" s="1"/>
      <c r="L619" s="1"/>
      <c r="M619" s="54"/>
      <c r="O619" s="1"/>
      <c r="P619" s="1"/>
      <c r="U619" s="1"/>
      <c r="X619" s="7"/>
      <c r="Y619" s="7"/>
      <c r="Z619" s="7"/>
      <c r="AA619" s="7"/>
    </row>
    <row r="620" spans="1:27" ht="16.5">
      <c r="A620" s="1"/>
      <c r="L620" s="1"/>
      <c r="M620" s="54"/>
      <c r="O620" s="1"/>
      <c r="P620" s="1"/>
      <c r="U620" s="1"/>
      <c r="X620" s="7"/>
      <c r="Y620" s="7"/>
      <c r="Z620" s="7"/>
      <c r="AA620" s="7"/>
    </row>
    <row r="621" spans="1:27" ht="16.5">
      <c r="A621" s="1"/>
      <c r="L621" s="1"/>
      <c r="M621" s="54"/>
      <c r="O621" s="1"/>
      <c r="P621" s="1"/>
      <c r="U621" s="1"/>
      <c r="X621" s="7"/>
      <c r="Y621" s="7"/>
      <c r="Z621" s="7"/>
      <c r="AA621" s="7"/>
    </row>
    <row r="622" spans="1:27" ht="16.5">
      <c r="A622" s="1"/>
      <c r="L622" s="1"/>
      <c r="M622" s="54"/>
      <c r="O622" s="1"/>
      <c r="P622" s="1"/>
      <c r="U622" s="1"/>
      <c r="X622" s="7"/>
      <c r="Y622" s="7"/>
      <c r="Z622" s="7"/>
      <c r="AA622" s="7"/>
    </row>
    <row r="623" spans="1:27" ht="16.5">
      <c r="A623" s="1"/>
      <c r="L623" s="1"/>
      <c r="M623" s="54"/>
      <c r="O623" s="1"/>
      <c r="P623" s="1"/>
      <c r="U623" s="1"/>
      <c r="X623" s="7"/>
      <c r="Y623" s="7"/>
      <c r="Z623" s="7"/>
      <c r="AA623" s="7"/>
    </row>
    <row r="624" spans="1:27" ht="16.5">
      <c r="A624" s="1"/>
      <c r="L624" s="1"/>
      <c r="M624" s="54"/>
      <c r="O624" s="1"/>
      <c r="P624" s="1"/>
      <c r="U624" s="1"/>
      <c r="X624" s="7"/>
      <c r="Y624" s="7"/>
      <c r="Z624" s="7"/>
      <c r="AA624" s="7"/>
    </row>
    <row r="625" spans="1:27" ht="16.5">
      <c r="A625" s="1"/>
      <c r="L625" s="1"/>
      <c r="M625" s="54"/>
      <c r="O625" s="1"/>
      <c r="P625" s="1"/>
      <c r="U625" s="1"/>
      <c r="X625" s="7"/>
      <c r="Y625" s="7"/>
      <c r="Z625" s="7"/>
      <c r="AA625" s="7"/>
    </row>
    <row r="626" spans="1:27" ht="16.5">
      <c r="A626" s="1"/>
      <c r="L626" s="1"/>
      <c r="M626" s="54"/>
      <c r="O626" s="1"/>
      <c r="P626" s="1"/>
      <c r="U626" s="1"/>
      <c r="X626" s="7"/>
      <c r="Y626" s="7"/>
      <c r="Z626" s="7"/>
      <c r="AA626" s="7"/>
    </row>
    <row r="627" spans="1:27" ht="16.5">
      <c r="A627" s="1"/>
      <c r="L627" s="1"/>
      <c r="M627" s="54"/>
      <c r="O627" s="1"/>
      <c r="P627" s="1"/>
      <c r="U627" s="1"/>
      <c r="X627" s="7"/>
      <c r="Y627" s="7"/>
      <c r="Z627" s="7"/>
      <c r="AA627" s="7"/>
    </row>
    <row r="628" spans="1:27" ht="16.5">
      <c r="A628" s="1"/>
      <c r="L628" s="1"/>
      <c r="M628" s="54"/>
      <c r="O628" s="1"/>
      <c r="P628" s="1"/>
      <c r="U628" s="1"/>
      <c r="X628" s="7"/>
      <c r="Y628" s="7"/>
      <c r="Z628" s="7"/>
      <c r="AA628" s="7"/>
    </row>
    <row r="629" spans="1:27" ht="16.5">
      <c r="A629" s="1"/>
      <c r="L629" s="1"/>
      <c r="M629" s="54"/>
      <c r="O629" s="1"/>
      <c r="P629" s="1"/>
      <c r="U629" s="1"/>
      <c r="X629" s="7"/>
      <c r="Y629" s="7"/>
      <c r="Z629" s="7"/>
      <c r="AA629" s="7"/>
    </row>
    <row r="630" spans="1:27" ht="16.5">
      <c r="A630" s="1"/>
      <c r="L630" s="1"/>
      <c r="M630" s="54"/>
      <c r="O630" s="1"/>
      <c r="P630" s="1"/>
      <c r="U630" s="1"/>
      <c r="X630" s="7"/>
      <c r="Y630" s="7"/>
      <c r="Z630" s="7"/>
      <c r="AA630" s="7"/>
    </row>
    <row r="631" spans="1:27" ht="16.5">
      <c r="A631" s="1"/>
      <c r="L631" s="1"/>
      <c r="M631" s="54"/>
      <c r="O631" s="1"/>
      <c r="P631" s="1"/>
      <c r="U631" s="1"/>
      <c r="X631" s="7"/>
      <c r="Y631" s="7"/>
      <c r="Z631" s="7"/>
      <c r="AA631" s="7"/>
    </row>
    <row r="632" spans="1:27" ht="16.5">
      <c r="A632" s="1"/>
      <c r="L632" s="1"/>
      <c r="M632" s="54"/>
      <c r="O632" s="1"/>
      <c r="P632" s="1"/>
      <c r="U632" s="1"/>
      <c r="X632" s="7"/>
      <c r="Y632" s="7"/>
      <c r="Z632" s="7"/>
      <c r="AA632" s="7"/>
    </row>
    <row r="633" spans="1:27" ht="16.5">
      <c r="A633" s="1"/>
      <c r="L633" s="1"/>
      <c r="M633" s="54"/>
      <c r="O633" s="1"/>
      <c r="P633" s="1"/>
      <c r="U633" s="1"/>
      <c r="X633" s="7"/>
      <c r="Y633" s="7"/>
      <c r="Z633" s="7"/>
      <c r="AA633" s="7"/>
    </row>
    <row r="634" spans="1:27" ht="16.5">
      <c r="A634" s="1"/>
      <c r="L634" s="1"/>
      <c r="M634" s="54"/>
      <c r="O634" s="1"/>
      <c r="P634" s="1"/>
      <c r="U634" s="1"/>
      <c r="X634" s="7"/>
      <c r="Y634" s="7"/>
      <c r="Z634" s="7"/>
      <c r="AA634" s="7"/>
    </row>
    <row r="635" spans="1:27" ht="16.5">
      <c r="A635" s="1"/>
      <c r="L635" s="1"/>
      <c r="M635" s="54"/>
      <c r="O635" s="1"/>
      <c r="P635" s="1"/>
      <c r="U635" s="1"/>
      <c r="X635" s="7"/>
      <c r="Y635" s="7"/>
      <c r="Z635" s="7"/>
      <c r="AA635" s="7"/>
    </row>
    <row r="636" spans="1:27" ht="16.5">
      <c r="A636" s="1"/>
      <c r="L636" s="1"/>
      <c r="M636" s="54"/>
      <c r="O636" s="1"/>
      <c r="P636" s="1"/>
      <c r="U636" s="1"/>
      <c r="X636" s="7"/>
      <c r="Y636" s="7"/>
      <c r="Z636" s="7"/>
      <c r="AA636" s="7"/>
    </row>
    <row r="637" spans="1:27" ht="16.5">
      <c r="A637" s="1"/>
      <c r="L637" s="1"/>
      <c r="M637" s="54"/>
      <c r="O637" s="1"/>
      <c r="P637" s="1"/>
      <c r="U637" s="1"/>
      <c r="X637" s="7"/>
      <c r="Y637" s="7"/>
      <c r="Z637" s="7"/>
      <c r="AA637" s="7"/>
    </row>
    <row r="638" spans="1:27" ht="16.5">
      <c r="A638" s="1"/>
      <c r="L638" s="1"/>
      <c r="M638" s="54"/>
      <c r="O638" s="1"/>
      <c r="P638" s="1"/>
      <c r="U638" s="1"/>
      <c r="X638" s="7"/>
      <c r="Y638" s="7"/>
      <c r="Z638" s="7"/>
      <c r="AA638" s="7"/>
    </row>
    <row r="639" spans="1:27" ht="16.5">
      <c r="A639" s="1"/>
      <c r="L639" s="1"/>
      <c r="M639" s="54"/>
      <c r="O639" s="1"/>
      <c r="P639" s="1"/>
      <c r="U639" s="1"/>
      <c r="X639" s="7"/>
      <c r="Y639" s="7"/>
      <c r="Z639" s="7"/>
      <c r="AA639" s="7"/>
    </row>
    <row r="640" spans="1:27" ht="16.5">
      <c r="A640" s="1"/>
      <c r="L640" s="1"/>
      <c r="M640" s="54"/>
      <c r="O640" s="1"/>
      <c r="P640" s="1"/>
      <c r="U640" s="1"/>
      <c r="X640" s="7"/>
      <c r="Y640" s="7"/>
      <c r="Z640" s="7"/>
      <c r="AA640" s="7"/>
    </row>
    <row r="641" spans="1:27" ht="16.5">
      <c r="A641" s="1"/>
      <c r="L641" s="1"/>
      <c r="M641" s="54"/>
      <c r="O641" s="1"/>
      <c r="P641" s="1"/>
      <c r="U641" s="1"/>
      <c r="X641" s="7"/>
      <c r="Y641" s="7"/>
      <c r="Z641" s="7"/>
      <c r="AA641" s="7"/>
    </row>
    <row r="642" spans="1:27" ht="16.5">
      <c r="A642" s="1"/>
      <c r="L642" s="1"/>
      <c r="M642" s="54"/>
      <c r="O642" s="1"/>
      <c r="P642" s="1"/>
      <c r="U642" s="1"/>
      <c r="X642" s="7"/>
      <c r="Y642" s="7"/>
      <c r="Z642" s="7"/>
      <c r="AA642" s="7"/>
    </row>
    <row r="643" spans="1:27" ht="16.5">
      <c r="A643" s="1"/>
      <c r="L643" s="1"/>
      <c r="M643" s="54"/>
      <c r="O643" s="1"/>
      <c r="P643" s="1"/>
      <c r="U643" s="1"/>
      <c r="X643" s="7"/>
      <c r="Y643" s="7"/>
      <c r="Z643" s="7"/>
      <c r="AA643" s="7"/>
    </row>
    <row r="644" spans="1:27" ht="16.5">
      <c r="A644" s="1"/>
      <c r="L644" s="1"/>
      <c r="M644" s="54"/>
      <c r="O644" s="1"/>
      <c r="P644" s="1"/>
      <c r="U644" s="1"/>
      <c r="X644" s="7"/>
      <c r="Y644" s="7"/>
      <c r="Z644" s="7"/>
      <c r="AA644" s="7"/>
    </row>
    <row r="645" spans="1:27" ht="16.5">
      <c r="A645" s="1"/>
      <c r="L645" s="1"/>
      <c r="M645" s="54"/>
      <c r="O645" s="1"/>
      <c r="P645" s="1"/>
      <c r="U645" s="1"/>
      <c r="X645" s="7"/>
      <c r="Y645" s="7"/>
      <c r="Z645" s="7"/>
      <c r="AA645" s="7"/>
    </row>
    <row r="646" spans="1:27" ht="16.5">
      <c r="A646" s="1"/>
      <c r="L646" s="1"/>
      <c r="M646" s="54"/>
      <c r="O646" s="1"/>
      <c r="P646" s="1"/>
      <c r="U646" s="1"/>
      <c r="X646" s="7"/>
      <c r="Y646" s="7"/>
      <c r="Z646" s="7"/>
      <c r="AA646" s="7"/>
    </row>
    <row r="647" spans="1:27" ht="16.5">
      <c r="A647" s="1"/>
      <c r="L647" s="1"/>
      <c r="M647" s="54"/>
      <c r="O647" s="1"/>
      <c r="P647" s="1"/>
      <c r="U647" s="1"/>
      <c r="X647" s="7"/>
      <c r="Y647" s="7"/>
      <c r="Z647" s="7"/>
      <c r="AA647" s="7"/>
    </row>
    <row r="648" spans="1:27" ht="16.5">
      <c r="A648" s="1"/>
      <c r="L648" s="1"/>
      <c r="M648" s="54"/>
      <c r="O648" s="1"/>
      <c r="P648" s="1"/>
      <c r="U648" s="1"/>
      <c r="X648" s="7"/>
      <c r="Y648" s="7"/>
      <c r="Z648" s="7"/>
      <c r="AA648" s="7"/>
    </row>
    <row r="649" spans="1:27" ht="16.5">
      <c r="A649" s="1"/>
      <c r="L649" s="1"/>
      <c r="M649" s="54"/>
      <c r="O649" s="1"/>
      <c r="P649" s="1"/>
      <c r="U649" s="1"/>
      <c r="X649" s="7"/>
      <c r="Y649" s="7"/>
      <c r="Z649" s="7"/>
      <c r="AA649" s="7"/>
    </row>
    <row r="650" spans="1:27" ht="16.5">
      <c r="A650" s="1"/>
      <c r="L650" s="1"/>
      <c r="M650" s="54"/>
      <c r="O650" s="1"/>
      <c r="P650" s="1"/>
      <c r="U650" s="1"/>
      <c r="X650" s="7"/>
      <c r="Y650" s="7"/>
      <c r="Z650" s="7"/>
      <c r="AA650" s="7"/>
    </row>
    <row r="651" spans="1:27" ht="16.5">
      <c r="A651" s="1"/>
      <c r="L651" s="1"/>
      <c r="M651" s="54"/>
      <c r="O651" s="1"/>
      <c r="P651" s="1"/>
      <c r="U651" s="1"/>
      <c r="X651" s="7"/>
      <c r="Y651" s="7"/>
      <c r="Z651" s="7"/>
      <c r="AA651" s="7"/>
    </row>
    <row r="652" spans="1:27" ht="16.5">
      <c r="A652" s="1"/>
      <c r="L652" s="1"/>
      <c r="M652" s="54"/>
      <c r="O652" s="1"/>
      <c r="P652" s="1"/>
      <c r="U652" s="1"/>
      <c r="X652" s="7"/>
      <c r="Y652" s="7"/>
      <c r="Z652" s="7"/>
      <c r="AA652" s="7"/>
    </row>
    <row r="653" spans="1:27" ht="16.5">
      <c r="A653" s="1"/>
      <c r="L653" s="1"/>
      <c r="M653" s="54"/>
      <c r="O653" s="1"/>
      <c r="P653" s="1"/>
      <c r="U653" s="1"/>
      <c r="X653" s="7"/>
      <c r="Y653" s="7"/>
      <c r="Z653" s="7"/>
      <c r="AA653" s="7"/>
    </row>
    <row r="654" spans="1:27" ht="16.5">
      <c r="A654" s="1"/>
      <c r="L654" s="1"/>
      <c r="M654" s="54"/>
      <c r="O654" s="1"/>
      <c r="P654" s="1"/>
      <c r="U654" s="1"/>
      <c r="X654" s="7"/>
      <c r="Y654" s="7"/>
      <c r="Z654" s="7"/>
      <c r="AA654" s="7"/>
    </row>
    <row r="655" spans="1:27" ht="16.5">
      <c r="A655" s="1"/>
      <c r="L655" s="1"/>
      <c r="M655" s="54"/>
      <c r="O655" s="1"/>
      <c r="P655" s="1"/>
      <c r="U655" s="1"/>
      <c r="X655" s="7"/>
      <c r="Y655" s="7"/>
      <c r="Z655" s="7"/>
      <c r="AA655" s="7"/>
    </row>
    <row r="656" spans="1:27" ht="16.5">
      <c r="A656" s="1"/>
      <c r="L656" s="1"/>
      <c r="M656" s="54"/>
      <c r="O656" s="1"/>
      <c r="P656" s="1"/>
      <c r="U656" s="1"/>
      <c r="X656" s="7"/>
      <c r="Y656" s="7"/>
      <c r="Z656" s="7"/>
      <c r="AA656" s="7"/>
    </row>
    <row r="657" spans="1:27" ht="16.5">
      <c r="A657" s="1"/>
      <c r="L657" s="1"/>
      <c r="M657" s="54"/>
      <c r="O657" s="1"/>
      <c r="P657" s="1"/>
      <c r="U657" s="1"/>
      <c r="X657" s="7"/>
      <c r="Y657" s="7"/>
      <c r="Z657" s="7"/>
      <c r="AA657" s="7"/>
    </row>
    <row r="658" spans="1:27" ht="16.5">
      <c r="A658" s="1"/>
      <c r="L658" s="1"/>
      <c r="M658" s="54"/>
      <c r="O658" s="1"/>
      <c r="P658" s="1"/>
      <c r="U658" s="1"/>
      <c r="X658" s="7"/>
      <c r="Y658" s="7"/>
      <c r="Z658" s="7"/>
      <c r="AA658" s="7"/>
    </row>
    <row r="659" spans="1:27" ht="16.5">
      <c r="A659" s="1"/>
      <c r="L659" s="1"/>
      <c r="M659" s="54"/>
      <c r="O659" s="1"/>
      <c r="P659" s="1"/>
      <c r="U659" s="1"/>
      <c r="X659" s="7"/>
      <c r="Y659" s="7"/>
      <c r="Z659" s="7"/>
      <c r="AA659" s="7"/>
    </row>
    <row r="660" spans="1:27" ht="16.5">
      <c r="A660" s="1"/>
      <c r="L660" s="1"/>
      <c r="M660" s="54"/>
      <c r="O660" s="1"/>
      <c r="P660" s="1"/>
      <c r="U660" s="1"/>
      <c r="X660" s="7"/>
      <c r="Y660" s="7"/>
      <c r="Z660" s="7"/>
      <c r="AA660" s="7"/>
    </row>
    <row r="661" spans="1:27" ht="16.5">
      <c r="A661" s="1"/>
      <c r="L661" s="1"/>
      <c r="M661" s="54"/>
      <c r="O661" s="1"/>
      <c r="P661" s="1"/>
      <c r="U661" s="1"/>
      <c r="X661" s="7"/>
      <c r="Y661" s="7"/>
      <c r="Z661" s="7"/>
      <c r="AA661" s="7"/>
    </row>
    <row r="662" spans="1:27" ht="16.5">
      <c r="A662" s="1"/>
      <c r="L662" s="1"/>
      <c r="M662" s="54"/>
      <c r="O662" s="1"/>
      <c r="P662" s="1"/>
      <c r="U662" s="1"/>
      <c r="X662" s="7"/>
      <c r="Y662" s="7"/>
      <c r="Z662" s="7"/>
      <c r="AA662" s="7"/>
    </row>
    <row r="663" spans="1:27" ht="16.5">
      <c r="A663" s="1"/>
      <c r="L663" s="1"/>
      <c r="M663" s="54"/>
      <c r="O663" s="1"/>
      <c r="P663" s="1"/>
      <c r="U663" s="1"/>
      <c r="X663" s="7"/>
      <c r="Y663" s="7"/>
      <c r="Z663" s="7"/>
      <c r="AA663" s="7"/>
    </row>
    <row r="664" spans="1:27" ht="16.5">
      <c r="A664" s="1"/>
      <c r="L664" s="1"/>
      <c r="M664" s="54"/>
      <c r="O664" s="1"/>
      <c r="P664" s="1"/>
      <c r="U664" s="1"/>
      <c r="X664" s="7"/>
      <c r="Y664" s="7"/>
      <c r="Z664" s="7"/>
      <c r="AA664" s="7"/>
    </row>
    <row r="665" spans="1:27" ht="16.5">
      <c r="A665" s="1"/>
      <c r="L665" s="1"/>
      <c r="M665" s="54"/>
      <c r="O665" s="1"/>
      <c r="P665" s="1"/>
      <c r="U665" s="1"/>
      <c r="X665" s="7"/>
      <c r="Y665" s="7"/>
      <c r="Z665" s="7"/>
      <c r="AA665" s="7"/>
    </row>
    <row r="666" spans="1:27" ht="16.5">
      <c r="A666" s="1"/>
      <c r="L666" s="1"/>
      <c r="M666" s="54"/>
      <c r="O666" s="1"/>
      <c r="P666" s="1"/>
      <c r="U666" s="1"/>
      <c r="X666" s="7"/>
      <c r="Y666" s="7"/>
      <c r="Z666" s="7"/>
      <c r="AA666" s="7"/>
    </row>
    <row r="667" spans="1:27" ht="16.5">
      <c r="A667" s="1"/>
      <c r="L667" s="1"/>
      <c r="M667" s="54"/>
      <c r="O667" s="1"/>
      <c r="P667" s="1"/>
      <c r="U667" s="1"/>
      <c r="X667" s="7"/>
      <c r="Y667" s="7"/>
      <c r="Z667" s="7"/>
      <c r="AA667" s="7"/>
    </row>
    <row r="668" spans="1:27" ht="16.5">
      <c r="A668" s="1"/>
      <c r="L668" s="1"/>
      <c r="M668" s="54"/>
      <c r="O668" s="1"/>
      <c r="P668" s="1"/>
      <c r="U668" s="1"/>
      <c r="X668" s="7"/>
      <c r="Y668" s="7"/>
      <c r="Z668" s="7"/>
      <c r="AA668" s="7"/>
    </row>
    <row r="669" spans="1:27" ht="16.5">
      <c r="A669" s="1"/>
      <c r="L669" s="1"/>
      <c r="M669" s="54"/>
      <c r="O669" s="1"/>
      <c r="P669" s="1"/>
      <c r="U669" s="1"/>
      <c r="X669" s="7"/>
      <c r="Y669" s="7"/>
      <c r="Z669" s="7"/>
      <c r="AA669" s="7"/>
    </row>
    <row r="670" spans="1:27" ht="16.5">
      <c r="A670" s="1"/>
      <c r="L670" s="1"/>
      <c r="M670" s="54"/>
      <c r="O670" s="1"/>
      <c r="P670" s="1"/>
      <c r="U670" s="1"/>
      <c r="X670" s="7"/>
      <c r="Y670" s="7"/>
      <c r="Z670" s="7"/>
      <c r="AA670" s="7"/>
    </row>
    <row r="671" spans="1:27" ht="16.5">
      <c r="A671" s="1"/>
      <c r="L671" s="1"/>
      <c r="M671" s="54"/>
      <c r="O671" s="1"/>
      <c r="P671" s="1"/>
      <c r="U671" s="1"/>
      <c r="X671" s="7"/>
      <c r="Y671" s="7"/>
      <c r="Z671" s="7"/>
      <c r="AA671" s="7"/>
    </row>
    <row r="672" spans="1:27" ht="16.5">
      <c r="A672" s="1"/>
      <c r="L672" s="1"/>
      <c r="M672" s="54"/>
      <c r="O672" s="1"/>
      <c r="P672" s="1"/>
      <c r="U672" s="1"/>
      <c r="X672" s="7"/>
      <c r="Y672" s="7"/>
      <c r="Z672" s="7"/>
      <c r="AA672" s="7"/>
    </row>
    <row r="673" spans="1:27" ht="16.5">
      <c r="A673" s="1"/>
      <c r="L673" s="1"/>
      <c r="M673" s="54"/>
      <c r="O673" s="1"/>
      <c r="P673" s="1"/>
      <c r="U673" s="1"/>
      <c r="X673" s="7"/>
      <c r="Y673" s="7"/>
      <c r="Z673" s="7"/>
      <c r="AA673" s="7"/>
    </row>
    <row r="674" spans="1:27" ht="16.5">
      <c r="A674" s="1"/>
      <c r="L674" s="1"/>
      <c r="M674" s="54"/>
      <c r="O674" s="1"/>
      <c r="P674" s="1"/>
      <c r="U674" s="1"/>
      <c r="X674" s="7"/>
      <c r="Y674" s="7"/>
      <c r="Z674" s="7"/>
      <c r="AA674" s="7"/>
    </row>
    <row r="675" spans="1:27" ht="16.5">
      <c r="A675" s="1"/>
      <c r="L675" s="1"/>
      <c r="M675" s="54"/>
      <c r="O675" s="1"/>
      <c r="P675" s="1"/>
      <c r="U675" s="1"/>
      <c r="X675" s="7"/>
      <c r="Y675" s="7"/>
      <c r="Z675" s="7"/>
      <c r="AA675" s="7"/>
    </row>
    <row r="676" spans="1:27" ht="16.5">
      <c r="A676" s="1"/>
      <c r="L676" s="1"/>
      <c r="M676" s="54"/>
      <c r="O676" s="1"/>
      <c r="P676" s="1"/>
      <c r="U676" s="1"/>
      <c r="X676" s="7"/>
      <c r="Y676" s="7"/>
      <c r="Z676" s="7"/>
      <c r="AA676" s="7"/>
    </row>
    <row r="677" spans="1:27" ht="16.5">
      <c r="A677" s="1"/>
      <c r="L677" s="1"/>
      <c r="M677" s="54"/>
      <c r="O677" s="1"/>
      <c r="P677" s="1"/>
      <c r="U677" s="1"/>
      <c r="X677" s="7"/>
      <c r="Y677" s="7"/>
      <c r="Z677" s="7"/>
      <c r="AA677" s="7"/>
    </row>
    <row r="678" spans="1:27" ht="16.5">
      <c r="A678" s="1"/>
      <c r="L678" s="1"/>
      <c r="M678" s="54"/>
      <c r="O678" s="1"/>
      <c r="P678" s="1"/>
      <c r="U678" s="1"/>
      <c r="X678" s="7"/>
      <c r="Y678" s="7"/>
      <c r="Z678" s="7"/>
      <c r="AA678" s="7"/>
    </row>
    <row r="679" spans="1:27" ht="16.5">
      <c r="A679" s="1"/>
      <c r="L679" s="1"/>
      <c r="M679" s="54"/>
      <c r="O679" s="1"/>
      <c r="P679" s="1"/>
      <c r="U679" s="1"/>
      <c r="X679" s="7"/>
      <c r="Y679" s="7"/>
      <c r="Z679" s="7"/>
      <c r="AA679" s="7"/>
    </row>
    <row r="680" spans="1:27" ht="16.5">
      <c r="A680" s="1"/>
      <c r="L680" s="1"/>
      <c r="M680" s="54"/>
      <c r="O680" s="1"/>
      <c r="P680" s="1"/>
      <c r="U680" s="1"/>
      <c r="X680" s="7"/>
      <c r="Y680" s="7"/>
      <c r="Z680" s="7"/>
      <c r="AA680" s="7"/>
    </row>
    <row r="681" spans="1:27" ht="16.5">
      <c r="A681" s="1"/>
      <c r="L681" s="1"/>
      <c r="M681" s="54"/>
      <c r="O681" s="1"/>
      <c r="P681" s="1"/>
      <c r="U681" s="1"/>
      <c r="X681" s="7"/>
      <c r="Y681" s="7"/>
      <c r="Z681" s="7"/>
      <c r="AA681" s="7"/>
    </row>
    <row r="682" spans="1:27" ht="16.5">
      <c r="A682" s="1"/>
      <c r="L682" s="1"/>
      <c r="M682" s="54"/>
      <c r="O682" s="1"/>
      <c r="P682" s="1"/>
      <c r="U682" s="1"/>
      <c r="X682" s="7"/>
      <c r="Y682" s="7"/>
      <c r="Z682" s="7"/>
      <c r="AA682" s="7"/>
    </row>
    <row r="683" spans="1:27" ht="16.5">
      <c r="A683" s="1"/>
      <c r="L683" s="1"/>
      <c r="M683" s="54"/>
      <c r="O683" s="1"/>
      <c r="P683" s="1"/>
      <c r="U683" s="1"/>
      <c r="X683" s="7"/>
      <c r="Y683" s="7"/>
      <c r="Z683" s="7"/>
      <c r="AA683" s="7"/>
    </row>
    <row r="684" spans="1:27" ht="16.5">
      <c r="A684" s="1"/>
      <c r="L684" s="1"/>
      <c r="M684" s="54"/>
      <c r="O684" s="1"/>
      <c r="P684" s="1"/>
      <c r="U684" s="1"/>
      <c r="X684" s="7"/>
      <c r="Y684" s="7"/>
      <c r="Z684" s="7"/>
      <c r="AA684" s="7"/>
    </row>
    <row r="685" spans="1:27" ht="16.5">
      <c r="A685" s="1"/>
      <c r="L685" s="1"/>
      <c r="M685" s="54"/>
      <c r="O685" s="1"/>
      <c r="P685" s="1"/>
      <c r="U685" s="1"/>
      <c r="X685" s="7"/>
      <c r="Y685" s="7"/>
      <c r="Z685" s="7"/>
      <c r="AA685" s="7"/>
    </row>
    <row r="686" spans="1:27" ht="16.5">
      <c r="A686" s="1"/>
      <c r="L686" s="1"/>
      <c r="M686" s="54"/>
      <c r="O686" s="1"/>
      <c r="P686" s="1"/>
      <c r="U686" s="1"/>
      <c r="X686" s="7"/>
      <c r="Y686" s="7"/>
      <c r="Z686" s="7"/>
      <c r="AA686" s="7"/>
    </row>
    <row r="687" spans="1:27" ht="16.5">
      <c r="A687" s="1"/>
      <c r="L687" s="1"/>
      <c r="M687" s="54"/>
      <c r="O687" s="1"/>
      <c r="P687" s="1"/>
      <c r="U687" s="1"/>
      <c r="X687" s="7"/>
      <c r="Y687" s="7"/>
      <c r="Z687" s="7"/>
      <c r="AA687" s="7"/>
    </row>
    <row r="688" spans="1:27" ht="16.5">
      <c r="A688" s="1"/>
      <c r="L688" s="1"/>
      <c r="M688" s="54"/>
      <c r="O688" s="1"/>
      <c r="P688" s="1"/>
      <c r="U688" s="1"/>
      <c r="X688" s="7"/>
      <c r="Y688" s="7"/>
      <c r="Z688" s="7"/>
      <c r="AA688" s="7"/>
    </row>
    <row r="689" spans="1:27" ht="16.5">
      <c r="A689" s="1"/>
      <c r="L689" s="1"/>
      <c r="M689" s="54"/>
      <c r="O689" s="1"/>
      <c r="P689" s="1"/>
      <c r="U689" s="1"/>
      <c r="X689" s="7"/>
      <c r="Y689" s="7"/>
      <c r="Z689" s="7"/>
      <c r="AA689" s="7"/>
    </row>
    <row r="690" spans="1:27" ht="16.5">
      <c r="A690" s="1"/>
      <c r="L690" s="1"/>
      <c r="M690" s="54"/>
      <c r="O690" s="1"/>
      <c r="P690" s="1"/>
      <c r="U690" s="1"/>
      <c r="X690" s="7"/>
      <c r="Y690" s="7"/>
      <c r="Z690" s="7"/>
      <c r="AA690" s="7"/>
    </row>
    <row r="691" spans="1:27" ht="16.5">
      <c r="A691" s="1"/>
      <c r="L691" s="1"/>
      <c r="M691" s="54"/>
      <c r="O691" s="1"/>
      <c r="P691" s="1"/>
      <c r="U691" s="1"/>
      <c r="X691" s="7"/>
      <c r="Y691" s="7"/>
      <c r="Z691" s="7"/>
      <c r="AA691" s="7"/>
    </row>
    <row r="692" spans="1:27" ht="16.5">
      <c r="A692" s="1"/>
      <c r="L692" s="1"/>
      <c r="M692" s="54"/>
      <c r="O692" s="1"/>
      <c r="P692" s="1"/>
      <c r="U692" s="1"/>
      <c r="X692" s="7"/>
      <c r="Y692" s="7"/>
      <c r="Z692" s="7"/>
      <c r="AA692" s="7"/>
    </row>
    <row r="693" spans="1:27" ht="16.5">
      <c r="A693" s="1"/>
      <c r="L693" s="1"/>
      <c r="M693" s="54"/>
      <c r="O693" s="1"/>
      <c r="P693" s="1"/>
      <c r="U693" s="1"/>
      <c r="X693" s="7"/>
      <c r="Y693" s="7"/>
      <c r="Z693" s="7"/>
      <c r="AA693" s="7"/>
    </row>
    <row r="694" spans="1:27" ht="16.5">
      <c r="A694" s="1"/>
      <c r="L694" s="1"/>
      <c r="M694" s="54"/>
      <c r="O694" s="1"/>
      <c r="P694" s="1"/>
      <c r="U694" s="1"/>
      <c r="X694" s="7"/>
      <c r="Y694" s="7"/>
      <c r="Z694" s="7"/>
      <c r="AA694" s="7"/>
    </row>
    <row r="695" spans="1:27" ht="16.5">
      <c r="A695" s="1"/>
      <c r="L695" s="1"/>
      <c r="M695" s="54"/>
      <c r="O695" s="1"/>
      <c r="P695" s="1"/>
      <c r="U695" s="1"/>
      <c r="X695" s="7"/>
      <c r="Y695" s="7"/>
      <c r="Z695" s="7"/>
      <c r="AA695" s="7"/>
    </row>
    <row r="696" spans="1:27" ht="16.5">
      <c r="A696" s="1"/>
      <c r="L696" s="1"/>
      <c r="M696" s="54"/>
      <c r="O696" s="1"/>
      <c r="P696" s="1"/>
      <c r="U696" s="1"/>
      <c r="X696" s="7"/>
      <c r="Y696" s="7"/>
      <c r="Z696" s="7"/>
      <c r="AA696" s="7"/>
    </row>
    <row r="697" spans="1:27" ht="16.5">
      <c r="A697" s="1"/>
      <c r="L697" s="1"/>
      <c r="M697" s="54"/>
      <c r="O697" s="1"/>
      <c r="P697" s="1"/>
      <c r="U697" s="1"/>
      <c r="X697" s="7"/>
      <c r="Y697" s="7"/>
      <c r="Z697" s="7"/>
      <c r="AA697" s="7"/>
    </row>
    <row r="698" spans="1:27" ht="16.5">
      <c r="A698" s="1"/>
      <c r="L698" s="1"/>
      <c r="M698" s="54"/>
      <c r="O698" s="1"/>
      <c r="P698" s="1"/>
      <c r="U698" s="1"/>
      <c r="X698" s="7"/>
      <c r="Y698" s="7"/>
      <c r="Z698" s="7"/>
      <c r="AA698" s="7"/>
    </row>
    <row r="699" spans="1:27" ht="16.5">
      <c r="A699" s="1"/>
      <c r="L699" s="1"/>
      <c r="M699" s="54"/>
      <c r="O699" s="1"/>
      <c r="P699" s="1"/>
      <c r="U699" s="1"/>
      <c r="X699" s="7"/>
      <c r="Y699" s="7"/>
      <c r="Z699" s="7"/>
      <c r="AA699" s="7"/>
    </row>
    <row r="700" spans="1:27" ht="16.5">
      <c r="A700" s="1"/>
      <c r="L700" s="1"/>
      <c r="M700" s="54"/>
      <c r="O700" s="1"/>
      <c r="P700" s="1"/>
      <c r="U700" s="1"/>
      <c r="X700" s="7"/>
      <c r="Y700" s="7"/>
      <c r="Z700" s="7"/>
      <c r="AA700" s="7"/>
    </row>
    <row r="701" spans="1:27" ht="16.5">
      <c r="A701" s="1"/>
      <c r="L701" s="1"/>
      <c r="M701" s="54"/>
      <c r="O701" s="1"/>
      <c r="P701" s="1"/>
      <c r="U701" s="1"/>
      <c r="X701" s="7"/>
      <c r="Y701" s="7"/>
      <c r="Z701" s="7"/>
      <c r="AA701" s="7"/>
    </row>
    <row r="702" spans="1:27" ht="16.5">
      <c r="A702" s="1"/>
      <c r="L702" s="1"/>
      <c r="M702" s="54"/>
      <c r="O702" s="1"/>
      <c r="P702" s="1"/>
      <c r="U702" s="1"/>
      <c r="X702" s="7"/>
      <c r="Y702" s="7"/>
      <c r="Z702" s="7"/>
      <c r="AA702" s="7"/>
    </row>
    <row r="703" spans="1:27" ht="16.5">
      <c r="A703" s="1"/>
      <c r="L703" s="1"/>
      <c r="M703" s="54"/>
      <c r="O703" s="1"/>
      <c r="P703" s="1"/>
      <c r="U703" s="1"/>
      <c r="X703" s="7"/>
      <c r="Y703" s="7"/>
      <c r="Z703" s="7"/>
      <c r="AA703" s="7"/>
    </row>
    <row r="704" spans="1:27" ht="16.5">
      <c r="A704" s="1"/>
      <c r="L704" s="1"/>
      <c r="M704" s="54"/>
      <c r="O704" s="1"/>
      <c r="P704" s="1"/>
      <c r="U704" s="1"/>
      <c r="X704" s="7"/>
      <c r="Y704" s="7"/>
      <c r="Z704" s="7"/>
      <c r="AA704" s="7"/>
    </row>
    <row r="705" spans="1:27" ht="16.5">
      <c r="A705" s="1"/>
      <c r="L705" s="1"/>
      <c r="M705" s="54"/>
      <c r="O705" s="1"/>
      <c r="P705" s="1"/>
      <c r="U705" s="1"/>
      <c r="X705" s="7"/>
      <c r="Y705" s="7"/>
      <c r="Z705" s="7"/>
      <c r="AA705" s="7"/>
    </row>
    <row r="706" spans="1:27" ht="16.5">
      <c r="A706" s="1"/>
      <c r="L706" s="1"/>
      <c r="M706" s="54"/>
      <c r="O706" s="1"/>
      <c r="P706" s="1"/>
      <c r="U706" s="1"/>
      <c r="X706" s="7"/>
      <c r="Y706" s="7"/>
      <c r="Z706" s="7"/>
      <c r="AA706" s="7"/>
    </row>
    <row r="707" spans="1:27" ht="16.5">
      <c r="A707" s="1"/>
      <c r="L707" s="1"/>
      <c r="M707" s="54"/>
      <c r="O707" s="1"/>
      <c r="P707" s="1"/>
      <c r="U707" s="1"/>
      <c r="X707" s="7"/>
      <c r="Y707" s="7"/>
      <c r="Z707" s="7"/>
      <c r="AA707" s="7"/>
    </row>
    <row r="708" spans="1:27" ht="16.5">
      <c r="A708" s="1"/>
      <c r="L708" s="1"/>
      <c r="M708" s="54"/>
      <c r="O708" s="1"/>
      <c r="P708" s="1"/>
      <c r="U708" s="1"/>
      <c r="X708" s="7"/>
      <c r="Y708" s="7"/>
      <c r="Z708" s="7"/>
      <c r="AA708" s="7"/>
    </row>
    <row r="709" spans="1:27" ht="16.5">
      <c r="A709" s="1"/>
      <c r="L709" s="1"/>
      <c r="M709" s="54"/>
      <c r="O709" s="1"/>
      <c r="P709" s="1"/>
      <c r="U709" s="1"/>
      <c r="X709" s="7"/>
      <c r="Y709" s="7"/>
      <c r="Z709" s="7"/>
      <c r="AA709" s="7"/>
    </row>
    <row r="710" spans="1:27" ht="16.5">
      <c r="A710" s="1"/>
      <c r="L710" s="1"/>
      <c r="M710" s="54"/>
      <c r="O710" s="1"/>
      <c r="P710" s="1"/>
      <c r="U710" s="1"/>
      <c r="X710" s="7"/>
      <c r="Y710" s="7"/>
      <c r="Z710" s="7"/>
      <c r="AA710" s="7"/>
    </row>
    <row r="711" spans="1:27" ht="16.5">
      <c r="A711" s="1"/>
      <c r="L711" s="1"/>
      <c r="M711" s="54"/>
      <c r="O711" s="1"/>
      <c r="P711" s="1"/>
      <c r="U711" s="1"/>
      <c r="X711" s="7"/>
      <c r="Y711" s="7"/>
      <c r="Z711" s="7"/>
      <c r="AA711" s="7"/>
    </row>
    <row r="712" spans="1:27" ht="16.5">
      <c r="A712" s="1"/>
      <c r="L712" s="1"/>
      <c r="M712" s="54"/>
      <c r="O712" s="1"/>
      <c r="P712" s="1"/>
      <c r="U712" s="1"/>
      <c r="X712" s="7"/>
      <c r="Y712" s="7"/>
      <c r="Z712" s="7"/>
      <c r="AA712" s="7"/>
    </row>
    <row r="713" spans="1:27" ht="16.5">
      <c r="A713" s="1"/>
      <c r="L713" s="1"/>
      <c r="M713" s="54"/>
      <c r="O713" s="1"/>
      <c r="P713" s="1"/>
      <c r="U713" s="1"/>
      <c r="X713" s="7"/>
      <c r="Y713" s="7"/>
      <c r="Z713" s="7"/>
      <c r="AA713" s="7"/>
    </row>
    <row r="714" spans="1:27" ht="16.5">
      <c r="A714" s="1"/>
      <c r="L714" s="1"/>
      <c r="M714" s="54"/>
      <c r="O714" s="1"/>
      <c r="P714" s="1"/>
      <c r="U714" s="1"/>
      <c r="X714" s="7"/>
      <c r="Y714" s="7"/>
      <c r="Z714" s="7"/>
      <c r="AA714" s="7"/>
    </row>
    <row r="715" spans="1:27" ht="16.5">
      <c r="A715" s="1"/>
      <c r="L715" s="1"/>
      <c r="M715" s="54"/>
      <c r="O715" s="1"/>
      <c r="P715" s="1"/>
      <c r="U715" s="1"/>
      <c r="X715" s="7"/>
      <c r="Y715" s="7"/>
      <c r="Z715" s="7"/>
      <c r="AA715" s="7"/>
    </row>
    <row r="716" spans="1:27" ht="16.5">
      <c r="A716" s="1"/>
      <c r="L716" s="1"/>
      <c r="M716" s="54"/>
      <c r="O716" s="1"/>
      <c r="P716" s="1"/>
      <c r="U716" s="1"/>
      <c r="X716" s="7"/>
      <c r="Y716" s="7"/>
      <c r="Z716" s="7"/>
      <c r="AA716" s="7"/>
    </row>
    <row r="717" spans="1:27" ht="16.5">
      <c r="A717" s="1"/>
      <c r="L717" s="1"/>
      <c r="M717" s="54"/>
      <c r="O717" s="1"/>
      <c r="P717" s="1"/>
      <c r="U717" s="1"/>
      <c r="X717" s="7"/>
      <c r="Y717" s="7"/>
      <c r="Z717" s="7"/>
      <c r="AA717" s="7"/>
    </row>
    <row r="718" spans="1:27" ht="16.5">
      <c r="A718" s="1"/>
      <c r="L718" s="1"/>
      <c r="M718" s="54"/>
      <c r="O718" s="1"/>
      <c r="P718" s="1"/>
      <c r="U718" s="1"/>
      <c r="X718" s="7"/>
      <c r="Y718" s="7"/>
      <c r="Z718" s="7"/>
      <c r="AA718" s="7"/>
    </row>
    <row r="719" spans="1:27" ht="16.5">
      <c r="A719" s="1"/>
      <c r="L719" s="1"/>
      <c r="M719" s="54"/>
      <c r="O719" s="1"/>
      <c r="P719" s="1"/>
      <c r="U719" s="1"/>
      <c r="X719" s="7"/>
      <c r="Y719" s="7"/>
      <c r="Z719" s="7"/>
      <c r="AA719" s="7"/>
    </row>
    <row r="720" spans="1:27" ht="16.5">
      <c r="A720" s="1"/>
      <c r="L720" s="1"/>
      <c r="M720" s="54"/>
      <c r="O720" s="1"/>
      <c r="P720" s="1"/>
      <c r="U720" s="1"/>
      <c r="X720" s="7"/>
      <c r="Y720" s="7"/>
      <c r="Z720" s="7"/>
      <c r="AA720" s="7"/>
    </row>
    <row r="721" spans="1:27" ht="16.5">
      <c r="A721" s="1"/>
      <c r="L721" s="1"/>
      <c r="M721" s="54"/>
      <c r="O721" s="1"/>
      <c r="P721" s="1"/>
      <c r="U721" s="1"/>
      <c r="X721" s="7"/>
      <c r="Y721" s="7"/>
      <c r="Z721" s="7"/>
      <c r="AA721" s="7"/>
    </row>
    <row r="722" spans="1:27" ht="16.5">
      <c r="A722" s="1"/>
      <c r="L722" s="1"/>
      <c r="M722" s="54"/>
      <c r="O722" s="1"/>
      <c r="P722" s="1"/>
      <c r="U722" s="1"/>
      <c r="X722" s="7"/>
      <c r="Y722" s="7"/>
      <c r="Z722" s="7"/>
      <c r="AA722" s="7"/>
    </row>
    <row r="723" spans="1:27" ht="16.5">
      <c r="A723" s="1"/>
      <c r="L723" s="1"/>
      <c r="M723" s="54"/>
      <c r="O723" s="1"/>
      <c r="P723" s="1"/>
      <c r="U723" s="1"/>
      <c r="X723" s="7"/>
      <c r="Y723" s="7"/>
      <c r="Z723" s="7"/>
      <c r="AA723" s="7"/>
    </row>
    <row r="724" spans="1:27" ht="16.5">
      <c r="A724" s="1"/>
      <c r="L724" s="1"/>
      <c r="M724" s="54"/>
      <c r="O724" s="1"/>
      <c r="P724" s="1"/>
      <c r="U724" s="1"/>
      <c r="X724" s="7"/>
      <c r="Y724" s="7"/>
      <c r="Z724" s="7"/>
      <c r="AA724" s="7"/>
    </row>
    <row r="725" spans="1:27" ht="16.5">
      <c r="A725" s="1"/>
      <c r="L725" s="1"/>
      <c r="M725" s="54"/>
      <c r="O725" s="1"/>
      <c r="P725" s="1"/>
      <c r="U725" s="1"/>
      <c r="X725" s="7"/>
      <c r="Y725" s="7"/>
      <c r="Z725" s="7"/>
      <c r="AA725" s="7"/>
    </row>
    <row r="726" spans="1:27" ht="16.5">
      <c r="A726" s="1"/>
      <c r="L726" s="1"/>
      <c r="M726" s="54"/>
      <c r="O726" s="1"/>
      <c r="P726" s="1"/>
      <c r="U726" s="1"/>
      <c r="X726" s="7"/>
      <c r="Y726" s="7"/>
      <c r="Z726" s="7"/>
      <c r="AA726" s="7"/>
    </row>
    <row r="727" spans="1:27" ht="16.5">
      <c r="A727" s="1"/>
      <c r="L727" s="1"/>
      <c r="M727" s="54"/>
      <c r="O727" s="1"/>
      <c r="P727" s="1"/>
      <c r="U727" s="1"/>
      <c r="X727" s="7"/>
      <c r="Y727" s="7"/>
      <c r="Z727" s="7"/>
      <c r="AA727" s="7"/>
    </row>
    <row r="728" spans="1:27" ht="16.5">
      <c r="A728" s="1"/>
      <c r="L728" s="1"/>
      <c r="M728" s="54"/>
      <c r="O728" s="1"/>
      <c r="P728" s="1"/>
      <c r="U728" s="1"/>
      <c r="X728" s="7"/>
      <c r="Y728" s="7"/>
      <c r="Z728" s="7"/>
      <c r="AA728" s="7"/>
    </row>
    <row r="729" spans="1:27" ht="16.5">
      <c r="A729" s="1"/>
      <c r="L729" s="1"/>
      <c r="M729" s="54"/>
      <c r="O729" s="1"/>
      <c r="P729" s="1"/>
      <c r="U729" s="1"/>
      <c r="X729" s="7"/>
      <c r="Y729" s="7"/>
      <c r="Z729" s="7"/>
      <c r="AA729" s="7"/>
    </row>
    <row r="730" spans="1:27" ht="16.5">
      <c r="A730" s="1"/>
      <c r="L730" s="1"/>
      <c r="M730" s="54"/>
      <c r="O730" s="1"/>
      <c r="P730" s="1"/>
      <c r="U730" s="1"/>
      <c r="X730" s="7"/>
      <c r="Y730" s="7"/>
      <c r="Z730" s="7"/>
      <c r="AA730" s="7"/>
    </row>
    <row r="731" spans="1:27" ht="16.5">
      <c r="A731" s="1"/>
      <c r="L731" s="1"/>
      <c r="M731" s="54"/>
      <c r="O731" s="1"/>
      <c r="P731" s="1"/>
      <c r="U731" s="1"/>
      <c r="X731" s="7"/>
      <c r="Y731" s="7"/>
      <c r="Z731" s="7"/>
      <c r="AA731" s="7"/>
    </row>
    <row r="732" spans="1:27" ht="16.5">
      <c r="A732" s="1"/>
      <c r="L732" s="1"/>
      <c r="M732" s="54"/>
      <c r="O732" s="1"/>
      <c r="P732" s="1"/>
      <c r="U732" s="1"/>
      <c r="X732" s="7"/>
      <c r="Y732" s="7"/>
      <c r="Z732" s="7"/>
      <c r="AA732" s="7"/>
    </row>
    <row r="733" spans="1:27" ht="16.5">
      <c r="A733" s="1"/>
      <c r="L733" s="1"/>
      <c r="M733" s="54"/>
      <c r="O733" s="1"/>
      <c r="P733" s="1"/>
      <c r="U733" s="1"/>
      <c r="X733" s="7"/>
      <c r="Y733" s="7"/>
      <c r="Z733" s="7"/>
      <c r="AA733" s="7"/>
    </row>
    <row r="734" spans="1:27" ht="16.5">
      <c r="A734" s="1"/>
      <c r="L734" s="1"/>
      <c r="M734" s="54"/>
      <c r="O734" s="1"/>
      <c r="P734" s="1"/>
      <c r="U734" s="1"/>
      <c r="X734" s="7"/>
      <c r="Y734" s="7"/>
      <c r="Z734" s="7"/>
      <c r="AA734" s="7"/>
    </row>
    <row r="735" spans="1:27" ht="16.5">
      <c r="A735" s="1"/>
      <c r="L735" s="1"/>
      <c r="M735" s="54"/>
      <c r="O735" s="1"/>
      <c r="P735" s="1"/>
      <c r="U735" s="1"/>
      <c r="X735" s="7"/>
      <c r="Y735" s="7"/>
      <c r="Z735" s="7"/>
      <c r="AA735" s="7"/>
    </row>
    <row r="736" spans="1:27" ht="16.5">
      <c r="A736" s="1"/>
      <c r="L736" s="1"/>
      <c r="M736" s="54"/>
      <c r="O736" s="1"/>
      <c r="P736" s="1"/>
      <c r="U736" s="1"/>
      <c r="X736" s="7"/>
      <c r="Y736" s="7"/>
      <c r="Z736" s="7"/>
      <c r="AA736" s="7"/>
    </row>
    <row r="737" spans="1:27" ht="16.5">
      <c r="A737" s="1"/>
      <c r="L737" s="1"/>
      <c r="M737" s="54"/>
      <c r="O737" s="1"/>
      <c r="P737" s="1"/>
      <c r="U737" s="1"/>
      <c r="X737" s="7"/>
      <c r="Y737" s="7"/>
      <c r="Z737" s="7"/>
      <c r="AA737" s="7"/>
    </row>
    <row r="738" spans="1:27" ht="16.5">
      <c r="A738" s="1"/>
      <c r="L738" s="1"/>
      <c r="M738" s="54"/>
      <c r="O738" s="1"/>
      <c r="P738" s="1"/>
      <c r="U738" s="1"/>
      <c r="X738" s="7"/>
      <c r="Y738" s="7"/>
      <c r="Z738" s="7"/>
      <c r="AA738" s="7"/>
    </row>
    <row r="739" spans="1:27" ht="16.5">
      <c r="A739" s="1"/>
      <c r="L739" s="1"/>
      <c r="M739" s="54"/>
      <c r="O739" s="1"/>
      <c r="P739" s="1"/>
      <c r="U739" s="1"/>
      <c r="X739" s="7"/>
      <c r="Y739" s="7"/>
      <c r="Z739" s="7"/>
      <c r="AA739" s="7"/>
    </row>
    <row r="740" spans="1:27" ht="16.5">
      <c r="A740" s="1"/>
      <c r="L740" s="1"/>
      <c r="M740" s="54"/>
      <c r="O740" s="1"/>
      <c r="P740" s="1"/>
      <c r="U740" s="1"/>
      <c r="X740" s="7"/>
      <c r="Y740" s="7"/>
      <c r="Z740" s="7"/>
      <c r="AA740" s="7"/>
    </row>
    <row r="741" spans="1:27" ht="16.5">
      <c r="A741" s="1"/>
      <c r="L741" s="1"/>
      <c r="M741" s="54"/>
      <c r="O741" s="1"/>
      <c r="P741" s="1"/>
      <c r="U741" s="1"/>
      <c r="X741" s="7"/>
      <c r="Y741" s="7"/>
      <c r="Z741" s="7"/>
      <c r="AA741" s="7"/>
    </row>
    <row r="742" spans="1:27" ht="16.5">
      <c r="A742" s="1"/>
      <c r="L742" s="1"/>
      <c r="M742" s="54"/>
      <c r="O742" s="1"/>
      <c r="P742" s="1"/>
      <c r="U742" s="1"/>
      <c r="X742" s="7"/>
      <c r="Y742" s="7"/>
      <c r="Z742" s="7"/>
      <c r="AA742" s="7"/>
    </row>
    <row r="743" spans="1:27" ht="16.5">
      <c r="A743" s="1"/>
      <c r="L743" s="1"/>
      <c r="M743" s="54"/>
      <c r="O743" s="1"/>
      <c r="P743" s="1"/>
      <c r="U743" s="1"/>
      <c r="X743" s="7"/>
      <c r="Y743" s="7"/>
      <c r="Z743" s="7"/>
      <c r="AA743" s="7"/>
    </row>
    <row r="744" spans="1:27" ht="16.5">
      <c r="A744" s="1"/>
      <c r="L744" s="1"/>
      <c r="M744" s="54"/>
      <c r="O744" s="1"/>
      <c r="P744" s="1"/>
      <c r="U744" s="1"/>
      <c r="X744" s="7"/>
      <c r="Y744" s="7"/>
      <c r="Z744" s="7"/>
      <c r="AA744" s="7"/>
    </row>
    <row r="745" spans="1:27" ht="16.5">
      <c r="A745" s="1"/>
      <c r="L745" s="1"/>
      <c r="M745" s="54"/>
      <c r="O745" s="1"/>
      <c r="P745" s="1"/>
      <c r="U745" s="1"/>
      <c r="X745" s="7"/>
      <c r="Y745" s="7"/>
      <c r="Z745" s="7"/>
      <c r="AA745" s="7"/>
    </row>
    <row r="746" spans="1:27" ht="16.5">
      <c r="A746" s="1"/>
      <c r="L746" s="1"/>
      <c r="M746" s="54"/>
      <c r="O746" s="1"/>
      <c r="P746" s="1"/>
      <c r="U746" s="1"/>
      <c r="X746" s="7"/>
      <c r="Y746" s="7"/>
      <c r="Z746" s="7"/>
      <c r="AA746" s="7"/>
    </row>
    <row r="747" spans="1:27" ht="16.5">
      <c r="A747" s="1"/>
      <c r="L747" s="1"/>
      <c r="M747" s="54"/>
      <c r="O747" s="1"/>
      <c r="P747" s="1"/>
      <c r="U747" s="1"/>
      <c r="X747" s="7"/>
      <c r="Y747" s="7"/>
      <c r="Z747" s="7"/>
      <c r="AA747" s="7"/>
    </row>
    <row r="748" spans="1:27" ht="16.5">
      <c r="A748" s="1"/>
      <c r="L748" s="1"/>
      <c r="M748" s="54"/>
      <c r="O748" s="1"/>
      <c r="P748" s="1"/>
      <c r="U748" s="1"/>
      <c r="X748" s="7"/>
      <c r="Y748" s="7"/>
      <c r="Z748" s="7"/>
      <c r="AA748" s="7"/>
    </row>
    <row r="749" spans="1:27" ht="16.5">
      <c r="A749" s="1"/>
      <c r="L749" s="1"/>
      <c r="M749" s="54"/>
      <c r="O749" s="1"/>
      <c r="P749" s="1"/>
      <c r="U749" s="1"/>
      <c r="X749" s="7"/>
      <c r="Y749" s="7"/>
      <c r="Z749" s="7"/>
      <c r="AA749" s="7"/>
    </row>
    <row r="750" spans="1:27" ht="16.5">
      <c r="A750" s="1"/>
      <c r="L750" s="1"/>
      <c r="M750" s="54"/>
      <c r="O750" s="1"/>
      <c r="P750" s="1"/>
      <c r="U750" s="1"/>
      <c r="X750" s="7"/>
      <c r="Y750" s="7"/>
      <c r="Z750" s="7"/>
      <c r="AA750" s="7"/>
    </row>
    <row r="751" spans="1:27" ht="16.5">
      <c r="A751" s="1"/>
      <c r="L751" s="1"/>
      <c r="M751" s="54"/>
      <c r="O751" s="1"/>
      <c r="P751" s="1"/>
      <c r="U751" s="1"/>
      <c r="X751" s="7"/>
      <c r="Y751" s="7"/>
      <c r="Z751" s="7"/>
      <c r="AA751" s="7"/>
    </row>
    <row r="752" spans="1:27" ht="16.5">
      <c r="A752" s="1"/>
      <c r="L752" s="1"/>
      <c r="M752" s="54"/>
      <c r="O752" s="1"/>
      <c r="P752" s="1"/>
      <c r="U752" s="1"/>
      <c r="X752" s="7"/>
      <c r="Y752" s="7"/>
      <c r="Z752" s="7"/>
      <c r="AA752" s="7"/>
    </row>
    <row r="753" spans="1:27" ht="16.5">
      <c r="A753" s="1"/>
      <c r="L753" s="1"/>
      <c r="M753" s="54"/>
      <c r="O753" s="1"/>
      <c r="P753" s="1"/>
      <c r="U753" s="1"/>
      <c r="X753" s="7"/>
      <c r="Y753" s="7"/>
      <c r="Z753" s="7"/>
      <c r="AA753" s="7"/>
    </row>
    <row r="754" spans="1:27" ht="16.5">
      <c r="A754" s="1"/>
      <c r="L754" s="1"/>
      <c r="M754" s="54"/>
      <c r="O754" s="1"/>
      <c r="P754" s="1"/>
      <c r="U754" s="1"/>
      <c r="X754" s="7"/>
      <c r="Y754" s="7"/>
      <c r="Z754" s="7"/>
      <c r="AA754" s="7"/>
    </row>
    <row r="755" spans="1:27" ht="16.5">
      <c r="A755" s="1"/>
      <c r="L755" s="1"/>
      <c r="M755" s="54"/>
      <c r="O755" s="1"/>
      <c r="P755" s="1"/>
      <c r="U755" s="1"/>
      <c r="X755" s="7"/>
      <c r="Y755" s="7"/>
      <c r="Z755" s="7"/>
      <c r="AA755" s="7"/>
    </row>
    <row r="756" spans="1:27" ht="16.5">
      <c r="A756" s="1"/>
      <c r="L756" s="1"/>
      <c r="M756" s="54"/>
      <c r="O756" s="1"/>
      <c r="P756" s="1"/>
      <c r="U756" s="1"/>
      <c r="X756" s="7"/>
      <c r="Y756" s="7"/>
      <c r="Z756" s="7"/>
      <c r="AA756" s="7"/>
    </row>
    <row r="757" spans="1:27" ht="16.5">
      <c r="A757" s="1"/>
      <c r="L757" s="1"/>
      <c r="M757" s="54"/>
      <c r="O757" s="1"/>
      <c r="P757" s="1"/>
      <c r="U757" s="1"/>
      <c r="X757" s="7"/>
      <c r="Y757" s="7"/>
      <c r="Z757" s="7"/>
      <c r="AA757" s="7"/>
    </row>
    <row r="758" spans="1:27" ht="16.5">
      <c r="A758" s="1"/>
      <c r="L758" s="1"/>
      <c r="M758" s="54"/>
      <c r="O758" s="1"/>
      <c r="P758" s="1"/>
      <c r="U758" s="1"/>
      <c r="X758" s="7"/>
      <c r="Y758" s="7"/>
      <c r="Z758" s="7"/>
      <c r="AA758" s="7"/>
    </row>
    <row r="759" spans="1:27" ht="16.5">
      <c r="A759" s="1"/>
      <c r="L759" s="1"/>
      <c r="M759" s="54"/>
      <c r="O759" s="1"/>
      <c r="P759" s="1"/>
      <c r="U759" s="1"/>
      <c r="X759" s="7"/>
      <c r="Y759" s="7"/>
      <c r="Z759" s="7"/>
      <c r="AA759" s="7"/>
    </row>
    <row r="760" spans="1:27" ht="16.5">
      <c r="A760" s="1"/>
      <c r="L760" s="1"/>
      <c r="M760" s="54"/>
      <c r="O760" s="1"/>
      <c r="P760" s="1"/>
      <c r="U760" s="1"/>
      <c r="X760" s="7"/>
      <c r="Y760" s="7"/>
      <c r="Z760" s="7"/>
      <c r="AA760" s="7"/>
    </row>
    <row r="761" spans="1:27" ht="16.5">
      <c r="A761" s="1"/>
      <c r="L761" s="1"/>
      <c r="M761" s="54"/>
      <c r="O761" s="1"/>
      <c r="P761" s="1"/>
      <c r="U761" s="1"/>
      <c r="X761" s="7"/>
      <c r="Y761" s="7"/>
      <c r="Z761" s="7"/>
      <c r="AA761" s="7"/>
    </row>
    <row r="762" spans="1:27" ht="16.5">
      <c r="A762" s="1"/>
      <c r="L762" s="1"/>
      <c r="M762" s="54"/>
      <c r="O762" s="1"/>
      <c r="P762" s="1"/>
      <c r="U762" s="1"/>
      <c r="X762" s="7"/>
      <c r="Y762" s="7"/>
      <c r="Z762" s="7"/>
      <c r="AA762" s="7"/>
    </row>
    <row r="763" spans="1:27" ht="16.5">
      <c r="A763" s="1"/>
      <c r="L763" s="1"/>
      <c r="M763" s="54"/>
      <c r="O763" s="1"/>
      <c r="P763" s="1"/>
      <c r="U763" s="1"/>
      <c r="X763" s="7"/>
      <c r="Y763" s="7"/>
      <c r="Z763" s="7"/>
      <c r="AA763" s="7"/>
    </row>
    <row r="764" spans="1:27" ht="16.5">
      <c r="A764" s="1"/>
      <c r="L764" s="1"/>
      <c r="M764" s="54"/>
      <c r="O764" s="1"/>
      <c r="P764" s="1"/>
      <c r="U764" s="1"/>
      <c r="X764" s="7"/>
      <c r="Y764" s="7"/>
      <c r="Z764" s="7"/>
      <c r="AA764" s="7"/>
    </row>
    <row r="765" spans="1:27" ht="16.5">
      <c r="A765" s="1"/>
      <c r="L765" s="1"/>
      <c r="M765" s="54"/>
      <c r="O765" s="1"/>
      <c r="P765" s="1"/>
      <c r="U765" s="1"/>
      <c r="X765" s="7"/>
      <c r="Y765" s="7"/>
      <c r="Z765" s="7"/>
      <c r="AA765" s="7"/>
    </row>
    <row r="766" spans="1:27" ht="16.5">
      <c r="A766" s="1"/>
      <c r="L766" s="1"/>
      <c r="M766" s="54"/>
      <c r="O766" s="1"/>
      <c r="P766" s="1"/>
      <c r="U766" s="1"/>
      <c r="X766" s="7"/>
      <c r="Y766" s="7"/>
      <c r="Z766" s="7"/>
      <c r="AA766" s="7"/>
    </row>
    <row r="767" spans="1:27" ht="16.5">
      <c r="A767" s="1"/>
      <c r="L767" s="1"/>
      <c r="M767" s="54"/>
      <c r="O767" s="1"/>
      <c r="P767" s="1"/>
      <c r="U767" s="1"/>
      <c r="X767" s="7"/>
      <c r="Y767" s="7"/>
      <c r="Z767" s="7"/>
      <c r="AA767" s="7"/>
    </row>
    <row r="768" spans="1:27" ht="16.5">
      <c r="A768" s="1"/>
      <c r="L768" s="1"/>
      <c r="M768" s="54"/>
      <c r="O768" s="1"/>
      <c r="P768" s="1"/>
      <c r="U768" s="1"/>
      <c r="X768" s="7"/>
      <c r="Y768" s="7"/>
      <c r="Z768" s="7"/>
      <c r="AA768" s="7"/>
    </row>
    <row r="769" spans="1:27" ht="16.5">
      <c r="A769" s="1"/>
      <c r="L769" s="1"/>
      <c r="M769" s="54"/>
      <c r="O769" s="1"/>
      <c r="P769" s="1"/>
      <c r="U769" s="1"/>
      <c r="X769" s="7"/>
      <c r="Y769" s="7"/>
      <c r="Z769" s="7"/>
      <c r="AA769" s="7"/>
    </row>
    <row r="770" spans="1:27" ht="16.5">
      <c r="A770" s="1"/>
      <c r="L770" s="1"/>
      <c r="M770" s="54"/>
      <c r="O770" s="1"/>
      <c r="P770" s="1"/>
      <c r="U770" s="1"/>
      <c r="X770" s="7"/>
      <c r="Y770" s="7"/>
      <c r="Z770" s="7"/>
      <c r="AA770" s="7"/>
    </row>
    <row r="771" spans="1:27" ht="16.5">
      <c r="A771" s="1"/>
      <c r="L771" s="1"/>
      <c r="M771" s="54"/>
      <c r="O771" s="1"/>
      <c r="P771" s="1"/>
      <c r="U771" s="1"/>
      <c r="X771" s="7"/>
      <c r="Y771" s="7"/>
      <c r="Z771" s="7"/>
      <c r="AA771" s="7"/>
    </row>
    <row r="772" spans="1:27" ht="16.5">
      <c r="A772" s="1"/>
      <c r="L772" s="1"/>
      <c r="M772" s="54"/>
      <c r="O772" s="1"/>
      <c r="P772" s="1"/>
      <c r="U772" s="1"/>
      <c r="X772" s="7"/>
      <c r="Y772" s="7"/>
      <c r="Z772" s="7"/>
      <c r="AA772" s="7"/>
    </row>
    <row r="773" spans="1:27" ht="16.5">
      <c r="A773" s="1"/>
      <c r="L773" s="1"/>
      <c r="M773" s="54"/>
      <c r="O773" s="1"/>
      <c r="P773" s="1"/>
      <c r="U773" s="1"/>
      <c r="X773" s="7"/>
      <c r="Y773" s="7"/>
      <c r="Z773" s="7"/>
      <c r="AA773" s="7"/>
    </row>
    <row r="774" spans="1:27" ht="16.5">
      <c r="A774" s="1"/>
      <c r="L774" s="1"/>
      <c r="M774" s="54"/>
      <c r="O774" s="1"/>
      <c r="P774" s="1"/>
      <c r="U774" s="1"/>
      <c r="X774" s="7"/>
      <c r="Y774" s="7"/>
      <c r="Z774" s="7"/>
      <c r="AA774" s="7"/>
    </row>
    <row r="775" spans="1:27" ht="16.5">
      <c r="A775" s="1"/>
      <c r="L775" s="1"/>
      <c r="M775" s="54"/>
      <c r="O775" s="1"/>
      <c r="P775" s="1"/>
      <c r="U775" s="1"/>
      <c r="X775" s="7"/>
      <c r="Y775" s="7"/>
      <c r="Z775" s="7"/>
      <c r="AA775" s="7"/>
    </row>
    <row r="776" spans="1:27" ht="16.5">
      <c r="A776" s="1"/>
      <c r="L776" s="1"/>
      <c r="M776" s="54"/>
      <c r="O776" s="1"/>
      <c r="P776" s="1"/>
      <c r="U776" s="1"/>
      <c r="X776" s="7"/>
      <c r="Y776" s="7"/>
      <c r="Z776" s="7"/>
      <c r="AA776" s="7"/>
    </row>
    <row r="777" spans="1:27" ht="16.5">
      <c r="A777" s="1"/>
      <c r="L777" s="1"/>
      <c r="M777" s="54"/>
      <c r="O777" s="1"/>
      <c r="P777" s="1"/>
      <c r="U777" s="1"/>
      <c r="X777" s="7"/>
      <c r="Y777" s="7"/>
      <c r="Z777" s="7"/>
      <c r="AA777" s="7"/>
    </row>
    <row r="778" spans="1:27" ht="16.5">
      <c r="A778" s="1"/>
      <c r="L778" s="1"/>
      <c r="M778" s="54"/>
      <c r="O778" s="1"/>
      <c r="P778" s="1"/>
      <c r="U778" s="1"/>
      <c r="X778" s="7"/>
      <c r="Y778" s="7"/>
      <c r="Z778" s="7"/>
      <c r="AA778" s="7"/>
    </row>
    <row r="779" spans="1:27" ht="16.5">
      <c r="A779" s="1"/>
      <c r="L779" s="1"/>
      <c r="M779" s="54"/>
      <c r="O779" s="1"/>
      <c r="P779" s="1"/>
      <c r="U779" s="1"/>
      <c r="X779" s="7"/>
      <c r="Y779" s="7"/>
      <c r="Z779" s="7"/>
      <c r="AA779" s="7"/>
    </row>
    <row r="780" spans="1:27" ht="16.5">
      <c r="A780" s="1"/>
      <c r="L780" s="1"/>
      <c r="M780" s="54"/>
      <c r="O780" s="1"/>
      <c r="P780" s="1"/>
      <c r="U780" s="1"/>
      <c r="X780" s="7"/>
      <c r="Y780" s="7"/>
      <c r="Z780" s="7"/>
      <c r="AA780" s="7"/>
    </row>
    <row r="781" spans="1:27" ht="16.5">
      <c r="A781" s="1"/>
      <c r="L781" s="1"/>
      <c r="M781" s="54"/>
      <c r="O781" s="1"/>
      <c r="P781" s="1"/>
      <c r="U781" s="1"/>
      <c r="X781" s="7"/>
      <c r="Y781" s="7"/>
      <c r="Z781" s="7"/>
      <c r="AA781" s="7"/>
    </row>
    <row r="782" spans="1:27" ht="16.5">
      <c r="A782" s="1"/>
      <c r="L782" s="1"/>
      <c r="M782" s="54"/>
      <c r="O782" s="1"/>
      <c r="P782" s="1"/>
      <c r="U782" s="1"/>
      <c r="X782" s="7"/>
      <c r="Y782" s="7"/>
      <c r="Z782" s="7"/>
      <c r="AA782" s="7"/>
    </row>
    <row r="783" spans="1:27" ht="16.5">
      <c r="A783" s="1"/>
      <c r="L783" s="1"/>
      <c r="M783" s="54"/>
      <c r="O783" s="1"/>
      <c r="P783" s="1"/>
      <c r="U783" s="1"/>
      <c r="X783" s="7"/>
      <c r="Y783" s="7"/>
      <c r="Z783" s="7"/>
      <c r="AA783" s="7"/>
    </row>
    <row r="784" spans="1:27" ht="16.5">
      <c r="A784" s="1"/>
      <c r="L784" s="1"/>
      <c r="M784" s="54"/>
      <c r="O784" s="1"/>
      <c r="P784" s="1"/>
      <c r="U784" s="1"/>
      <c r="X784" s="7"/>
      <c r="Y784" s="7"/>
      <c r="Z784" s="7"/>
      <c r="AA784" s="7"/>
    </row>
    <row r="785" spans="1:27" ht="16.5">
      <c r="A785" s="1"/>
      <c r="L785" s="1"/>
      <c r="M785" s="54"/>
      <c r="O785" s="1"/>
      <c r="P785" s="1"/>
      <c r="U785" s="1"/>
      <c r="X785" s="7"/>
      <c r="Y785" s="7"/>
      <c r="Z785" s="7"/>
      <c r="AA785" s="7"/>
    </row>
    <row r="786" spans="1:27" ht="16.5">
      <c r="A786" s="1"/>
      <c r="L786" s="1"/>
      <c r="M786" s="54"/>
      <c r="O786" s="1"/>
      <c r="P786" s="1"/>
      <c r="U786" s="1"/>
      <c r="X786" s="7"/>
      <c r="Y786" s="7"/>
      <c r="Z786" s="7"/>
      <c r="AA786" s="7"/>
    </row>
    <row r="787" spans="1:27" ht="16.5">
      <c r="A787" s="1"/>
      <c r="L787" s="1"/>
      <c r="M787" s="54"/>
      <c r="O787" s="1"/>
      <c r="P787" s="1"/>
      <c r="U787" s="1"/>
      <c r="X787" s="7"/>
      <c r="Y787" s="7"/>
      <c r="Z787" s="7"/>
      <c r="AA787" s="7"/>
    </row>
    <row r="788" spans="1:27" ht="16.5">
      <c r="A788" s="1"/>
      <c r="L788" s="1"/>
      <c r="M788" s="54"/>
      <c r="O788" s="1"/>
      <c r="P788" s="1"/>
      <c r="U788" s="1"/>
      <c r="X788" s="7"/>
      <c r="Y788" s="7"/>
      <c r="Z788" s="7"/>
      <c r="AA788" s="7"/>
    </row>
    <row r="789" spans="1:27" ht="16.5">
      <c r="A789" s="1"/>
      <c r="L789" s="1"/>
      <c r="M789" s="54"/>
      <c r="O789" s="1"/>
      <c r="P789" s="1"/>
      <c r="U789" s="1"/>
      <c r="X789" s="7"/>
      <c r="Y789" s="7"/>
      <c r="Z789" s="7"/>
      <c r="AA789" s="7"/>
    </row>
    <row r="790" spans="1:27" ht="16.5">
      <c r="A790" s="1"/>
      <c r="L790" s="1"/>
      <c r="M790" s="54"/>
      <c r="O790" s="1"/>
      <c r="P790" s="1"/>
      <c r="U790" s="1"/>
      <c r="X790" s="7"/>
      <c r="Y790" s="7"/>
      <c r="Z790" s="7"/>
      <c r="AA790" s="7"/>
    </row>
    <row r="791" spans="1:27" ht="16.5">
      <c r="A791" s="1"/>
      <c r="L791" s="1"/>
      <c r="M791" s="54"/>
      <c r="O791" s="1"/>
      <c r="P791" s="1"/>
      <c r="U791" s="1"/>
      <c r="X791" s="7"/>
      <c r="Y791" s="7"/>
      <c r="Z791" s="7"/>
      <c r="AA791" s="7"/>
    </row>
    <row r="792" spans="1:27" ht="16.5">
      <c r="A792" s="1"/>
      <c r="L792" s="1"/>
      <c r="M792" s="54"/>
      <c r="O792" s="1"/>
      <c r="P792" s="1"/>
      <c r="U792" s="1"/>
      <c r="X792" s="7"/>
      <c r="Y792" s="7"/>
      <c r="Z792" s="7"/>
      <c r="AA792" s="7"/>
    </row>
    <row r="793" spans="1:27" ht="16.5">
      <c r="A793" s="1"/>
      <c r="L793" s="1"/>
      <c r="M793" s="54"/>
      <c r="O793" s="1"/>
      <c r="P793" s="1"/>
      <c r="U793" s="1"/>
      <c r="X793" s="7"/>
      <c r="Y793" s="7"/>
      <c r="Z793" s="7"/>
      <c r="AA793" s="7"/>
    </row>
    <row r="794" spans="1:27" ht="16.5">
      <c r="A794" s="1"/>
      <c r="L794" s="1"/>
      <c r="M794" s="54"/>
      <c r="O794" s="1"/>
      <c r="P794" s="1"/>
      <c r="U794" s="1"/>
      <c r="X794" s="7"/>
      <c r="Y794" s="7"/>
      <c r="Z794" s="7"/>
      <c r="AA794" s="7"/>
    </row>
    <row r="795" spans="1:27" ht="16.5">
      <c r="A795" s="1"/>
      <c r="L795" s="1"/>
      <c r="M795" s="54"/>
      <c r="O795" s="1"/>
      <c r="P795" s="1"/>
      <c r="U795" s="1"/>
      <c r="X795" s="7"/>
      <c r="Y795" s="7"/>
      <c r="Z795" s="7"/>
      <c r="AA795" s="7"/>
    </row>
    <row r="796" spans="1:27" ht="16.5">
      <c r="A796" s="1"/>
      <c r="L796" s="1"/>
      <c r="M796" s="54"/>
      <c r="O796" s="1"/>
      <c r="P796" s="1"/>
      <c r="U796" s="1"/>
      <c r="X796" s="7"/>
      <c r="Y796" s="7"/>
      <c r="Z796" s="7"/>
      <c r="AA796" s="7"/>
    </row>
    <row r="797" spans="1:27" ht="16.5">
      <c r="A797" s="1"/>
      <c r="L797" s="1"/>
      <c r="M797" s="54"/>
      <c r="O797" s="1"/>
      <c r="P797" s="1"/>
      <c r="U797" s="1"/>
      <c r="X797" s="7"/>
      <c r="Y797" s="7"/>
      <c r="Z797" s="7"/>
      <c r="AA797" s="7"/>
    </row>
    <row r="798" spans="1:27" ht="16.5">
      <c r="A798" s="1"/>
      <c r="L798" s="1"/>
      <c r="M798" s="54"/>
      <c r="O798" s="1"/>
      <c r="P798" s="1"/>
      <c r="U798" s="1"/>
      <c r="X798" s="7"/>
      <c r="Y798" s="7"/>
      <c r="Z798" s="7"/>
      <c r="AA798" s="7"/>
    </row>
    <row r="799" spans="1:27" ht="16.5">
      <c r="A799" s="1"/>
      <c r="L799" s="1"/>
      <c r="M799" s="54"/>
      <c r="O799" s="1"/>
      <c r="P799" s="1"/>
      <c r="U799" s="1"/>
      <c r="X799" s="7"/>
      <c r="Y799" s="7"/>
      <c r="Z799" s="7"/>
      <c r="AA799" s="7"/>
    </row>
    <row r="800" spans="1:27" ht="16.5">
      <c r="A800" s="1"/>
      <c r="L800" s="1"/>
      <c r="M800" s="54"/>
      <c r="O800" s="1"/>
      <c r="P800" s="1"/>
      <c r="U800" s="1"/>
      <c r="X800" s="7"/>
      <c r="Y800" s="7"/>
      <c r="Z800" s="7"/>
      <c r="AA800" s="7"/>
    </row>
    <row r="801" spans="1:27" ht="16.5">
      <c r="A801" s="1"/>
      <c r="L801" s="1"/>
      <c r="M801" s="54"/>
      <c r="O801" s="1"/>
      <c r="P801" s="1"/>
      <c r="U801" s="1"/>
      <c r="X801" s="7"/>
      <c r="Y801" s="7"/>
      <c r="Z801" s="7"/>
      <c r="AA801" s="7"/>
    </row>
    <row r="802" spans="1:27" ht="16.5">
      <c r="A802" s="1"/>
      <c r="L802" s="1"/>
      <c r="M802" s="54"/>
      <c r="O802" s="1"/>
      <c r="P802" s="1"/>
      <c r="U802" s="1"/>
      <c r="X802" s="7"/>
      <c r="Y802" s="7"/>
      <c r="Z802" s="7"/>
      <c r="AA802" s="7"/>
    </row>
    <row r="803" spans="1:27" ht="16.5">
      <c r="A803" s="1"/>
      <c r="L803" s="1"/>
      <c r="M803" s="54"/>
      <c r="O803" s="1"/>
      <c r="P803" s="1"/>
      <c r="U803" s="1"/>
      <c r="X803" s="7"/>
      <c r="Y803" s="7"/>
      <c r="Z803" s="7"/>
      <c r="AA803" s="7"/>
    </row>
    <row r="804" spans="1:27" ht="16.5">
      <c r="A804" s="1"/>
      <c r="L804" s="1"/>
      <c r="M804" s="54"/>
      <c r="O804" s="1"/>
      <c r="P804" s="1"/>
      <c r="U804" s="1"/>
      <c r="X804" s="7"/>
      <c r="Y804" s="7"/>
      <c r="Z804" s="7"/>
      <c r="AA804" s="7"/>
    </row>
    <row r="805" spans="1:27" ht="16.5">
      <c r="A805" s="1"/>
      <c r="L805" s="1"/>
      <c r="M805" s="54"/>
      <c r="O805" s="1"/>
      <c r="P805" s="1"/>
      <c r="U805" s="1"/>
      <c r="X805" s="7"/>
      <c r="Y805" s="7"/>
      <c r="Z805" s="7"/>
      <c r="AA805" s="7"/>
    </row>
    <row r="806" spans="1:27" ht="16.5">
      <c r="A806" s="1"/>
      <c r="L806" s="1"/>
      <c r="M806" s="54"/>
      <c r="O806" s="1"/>
      <c r="P806" s="1"/>
      <c r="U806" s="1"/>
      <c r="X806" s="7"/>
      <c r="Y806" s="7"/>
      <c r="Z806" s="7"/>
      <c r="AA806" s="7"/>
    </row>
    <row r="807" spans="1:27" ht="16.5">
      <c r="A807" s="1"/>
      <c r="L807" s="1"/>
      <c r="M807" s="54"/>
      <c r="O807" s="1"/>
      <c r="P807" s="1"/>
      <c r="U807" s="1"/>
      <c r="X807" s="7"/>
      <c r="Y807" s="7"/>
      <c r="Z807" s="7"/>
      <c r="AA807" s="7"/>
    </row>
    <row r="808" spans="1:27" ht="16.5">
      <c r="A808" s="1"/>
      <c r="L808" s="1"/>
      <c r="M808" s="54"/>
      <c r="O808" s="1"/>
      <c r="P808" s="1"/>
      <c r="U808" s="1"/>
      <c r="X808" s="7"/>
      <c r="Y808" s="7"/>
      <c r="Z808" s="7"/>
      <c r="AA808" s="7"/>
    </row>
    <row r="809" spans="1:27" ht="16.5">
      <c r="A809" s="1"/>
      <c r="L809" s="1"/>
      <c r="M809" s="54"/>
      <c r="O809" s="1"/>
      <c r="P809" s="1"/>
      <c r="U809" s="1"/>
      <c r="X809" s="7"/>
      <c r="Y809" s="7"/>
      <c r="Z809" s="7"/>
      <c r="AA809" s="7"/>
    </row>
    <row r="810" spans="1:27" ht="16.5">
      <c r="A810" s="1"/>
      <c r="L810" s="1"/>
      <c r="M810" s="54"/>
      <c r="O810" s="1"/>
      <c r="P810" s="1"/>
      <c r="U810" s="1"/>
      <c r="X810" s="7"/>
      <c r="Y810" s="7"/>
      <c r="Z810" s="7"/>
      <c r="AA810" s="7"/>
    </row>
    <row r="811" spans="1:27" ht="16.5">
      <c r="A811" s="1"/>
      <c r="L811" s="1"/>
      <c r="M811" s="54"/>
      <c r="O811" s="1"/>
      <c r="P811" s="1"/>
      <c r="U811" s="1"/>
      <c r="X811" s="7"/>
      <c r="Y811" s="7"/>
      <c r="Z811" s="7"/>
      <c r="AA811" s="7"/>
    </row>
    <row r="812" spans="1:27" ht="16.5">
      <c r="A812" s="1"/>
      <c r="L812" s="1"/>
      <c r="M812" s="54"/>
      <c r="O812" s="1"/>
      <c r="P812" s="1"/>
      <c r="U812" s="1"/>
      <c r="X812" s="7"/>
      <c r="Y812" s="7"/>
      <c r="Z812" s="7"/>
      <c r="AA812" s="7"/>
    </row>
    <row r="813" spans="1:27" ht="16.5">
      <c r="A813" s="1"/>
      <c r="L813" s="1"/>
      <c r="M813" s="54"/>
      <c r="O813" s="1"/>
      <c r="P813" s="1"/>
      <c r="U813" s="1"/>
      <c r="X813" s="7"/>
      <c r="Y813" s="7"/>
      <c r="Z813" s="7"/>
      <c r="AA813" s="7"/>
    </row>
    <row r="814" spans="1:27" ht="16.5">
      <c r="A814" s="1"/>
      <c r="L814" s="1"/>
      <c r="M814" s="54"/>
      <c r="O814" s="1"/>
      <c r="P814" s="1"/>
      <c r="U814" s="1"/>
      <c r="X814" s="7"/>
      <c r="Y814" s="7"/>
      <c r="Z814" s="7"/>
      <c r="AA814" s="7"/>
    </row>
    <row r="815" spans="1:27" ht="16.5">
      <c r="A815" s="1"/>
      <c r="L815" s="1"/>
      <c r="M815" s="54"/>
      <c r="O815" s="1"/>
      <c r="P815" s="1"/>
      <c r="U815" s="1"/>
      <c r="X815" s="7"/>
      <c r="Y815" s="7"/>
      <c r="Z815" s="7"/>
      <c r="AA815" s="7"/>
    </row>
    <row r="816" spans="1:27" ht="16.5">
      <c r="A816" s="1"/>
      <c r="L816" s="1"/>
      <c r="M816" s="54"/>
      <c r="O816" s="1"/>
      <c r="P816" s="1"/>
      <c r="U816" s="1"/>
      <c r="X816" s="7"/>
      <c r="Y816" s="7"/>
      <c r="Z816" s="7"/>
      <c r="AA816" s="7"/>
    </row>
    <row r="817" spans="1:27" ht="16.5">
      <c r="A817" s="1"/>
      <c r="L817" s="1"/>
      <c r="M817" s="54"/>
      <c r="O817" s="1"/>
      <c r="P817" s="1"/>
      <c r="U817" s="1"/>
      <c r="X817" s="7"/>
      <c r="Y817" s="7"/>
      <c r="Z817" s="7"/>
      <c r="AA817" s="7"/>
    </row>
    <row r="818" spans="1:27" ht="16.5">
      <c r="A818" s="1"/>
      <c r="L818" s="1"/>
      <c r="M818" s="54"/>
      <c r="O818" s="1"/>
      <c r="P818" s="1"/>
      <c r="U818" s="1"/>
      <c r="X818" s="7"/>
      <c r="Y818" s="7"/>
      <c r="Z818" s="7"/>
      <c r="AA818" s="7"/>
    </row>
    <row r="819" spans="1:27" ht="16.5">
      <c r="A819" s="1"/>
      <c r="L819" s="1"/>
      <c r="M819" s="54"/>
      <c r="O819" s="1"/>
      <c r="P819" s="1"/>
      <c r="U819" s="1"/>
      <c r="X819" s="7"/>
      <c r="Y819" s="7"/>
      <c r="Z819" s="7"/>
      <c r="AA819" s="7"/>
    </row>
    <row r="820" spans="1:27" ht="16.5">
      <c r="A820" s="1"/>
      <c r="L820" s="1"/>
      <c r="M820" s="54"/>
      <c r="O820" s="1"/>
      <c r="P820" s="1"/>
      <c r="U820" s="1"/>
      <c r="X820" s="7"/>
      <c r="Y820" s="7"/>
      <c r="Z820" s="7"/>
      <c r="AA820" s="7"/>
    </row>
    <row r="821" spans="1:27" ht="16.5">
      <c r="A821" s="1"/>
      <c r="L821" s="1"/>
      <c r="M821" s="54"/>
      <c r="O821" s="1"/>
      <c r="P821" s="1"/>
      <c r="U821" s="1"/>
      <c r="X821" s="7"/>
      <c r="Y821" s="7"/>
      <c r="Z821" s="7"/>
      <c r="AA821" s="7"/>
    </row>
    <row r="822" spans="1:27" ht="16.5">
      <c r="A822" s="1"/>
      <c r="L822" s="1"/>
      <c r="M822" s="54"/>
      <c r="O822" s="1"/>
      <c r="P822" s="1"/>
      <c r="U822" s="1"/>
      <c r="X822" s="7"/>
      <c r="Y822" s="7"/>
      <c r="Z822" s="7"/>
      <c r="AA822" s="7"/>
    </row>
    <row r="823" spans="1:27" ht="16.5">
      <c r="A823" s="1"/>
      <c r="L823" s="1"/>
      <c r="M823" s="54"/>
      <c r="O823" s="1"/>
      <c r="P823" s="1"/>
      <c r="U823" s="1"/>
      <c r="X823" s="7"/>
      <c r="Y823" s="7"/>
      <c r="Z823" s="7"/>
      <c r="AA823" s="7"/>
    </row>
    <row r="824" spans="1:27" ht="16.5">
      <c r="A824" s="1"/>
      <c r="L824" s="1"/>
      <c r="M824" s="54"/>
      <c r="O824" s="1"/>
      <c r="P824" s="1"/>
      <c r="U824" s="1"/>
      <c r="X824" s="7"/>
      <c r="Y824" s="7"/>
      <c r="Z824" s="7"/>
      <c r="AA824" s="7"/>
    </row>
    <row r="825" spans="1:27" ht="16.5">
      <c r="A825" s="1"/>
      <c r="L825" s="1"/>
      <c r="M825" s="54"/>
      <c r="O825" s="1"/>
      <c r="P825" s="1"/>
      <c r="U825" s="1"/>
      <c r="X825" s="7"/>
      <c r="Y825" s="7"/>
      <c r="Z825" s="7"/>
      <c r="AA825" s="7"/>
    </row>
    <row r="826" spans="1:27" ht="16.5">
      <c r="A826" s="1"/>
      <c r="L826" s="1"/>
      <c r="M826" s="54"/>
      <c r="O826" s="1"/>
      <c r="P826" s="1"/>
      <c r="U826" s="1"/>
      <c r="X826" s="7"/>
      <c r="Y826" s="7"/>
      <c r="Z826" s="7"/>
      <c r="AA826" s="7"/>
    </row>
    <row r="827" spans="1:27" ht="16.5">
      <c r="A827" s="1"/>
      <c r="L827" s="1"/>
      <c r="M827" s="54"/>
      <c r="O827" s="1"/>
      <c r="P827" s="1"/>
      <c r="U827" s="1"/>
      <c r="X827" s="7"/>
      <c r="Y827" s="7"/>
      <c r="Z827" s="7"/>
      <c r="AA827" s="7"/>
    </row>
    <row r="828" spans="1:27" ht="16.5">
      <c r="A828" s="1"/>
      <c r="L828" s="1"/>
      <c r="M828" s="54"/>
      <c r="O828" s="1"/>
      <c r="P828" s="1"/>
      <c r="U828" s="1"/>
      <c r="X828" s="7"/>
      <c r="Y828" s="7"/>
      <c r="Z828" s="7"/>
      <c r="AA828" s="7"/>
    </row>
    <row r="829" spans="1:27" ht="16.5">
      <c r="A829" s="1"/>
      <c r="L829" s="1"/>
      <c r="M829" s="54"/>
      <c r="O829" s="1"/>
      <c r="P829" s="1"/>
      <c r="U829" s="1"/>
      <c r="X829" s="7"/>
      <c r="Y829" s="7"/>
      <c r="Z829" s="7"/>
      <c r="AA829" s="7"/>
    </row>
    <row r="830" spans="1:27" ht="16.5">
      <c r="A830" s="1"/>
      <c r="L830" s="1"/>
      <c r="M830" s="54"/>
      <c r="O830" s="1"/>
      <c r="P830" s="1"/>
      <c r="U830" s="1"/>
      <c r="X830" s="7"/>
      <c r="Y830" s="7"/>
      <c r="Z830" s="7"/>
      <c r="AA830" s="7"/>
    </row>
    <row r="831" spans="1:27" ht="16.5">
      <c r="A831" s="1"/>
      <c r="L831" s="1"/>
      <c r="M831" s="54"/>
      <c r="O831" s="1"/>
      <c r="P831" s="1"/>
      <c r="U831" s="1"/>
      <c r="X831" s="7"/>
      <c r="Y831" s="7"/>
      <c r="Z831" s="7"/>
      <c r="AA831" s="7"/>
    </row>
    <row r="832" spans="1:27" ht="16.5">
      <c r="A832" s="1"/>
      <c r="L832" s="1"/>
      <c r="M832" s="54"/>
      <c r="O832" s="1"/>
      <c r="P832" s="1"/>
      <c r="U832" s="1"/>
      <c r="X832" s="7"/>
      <c r="Y832" s="7"/>
      <c r="Z832" s="7"/>
      <c r="AA832" s="7"/>
    </row>
    <row r="833" spans="1:27" ht="16.5">
      <c r="A833" s="1"/>
      <c r="L833" s="1"/>
      <c r="M833" s="54"/>
      <c r="O833" s="1"/>
      <c r="P833" s="1"/>
      <c r="U833" s="1"/>
      <c r="X833" s="7"/>
      <c r="Y833" s="7"/>
      <c r="Z833" s="7"/>
      <c r="AA833" s="7"/>
    </row>
    <row r="834" spans="1:27" ht="16.5">
      <c r="A834" s="1"/>
      <c r="L834" s="1"/>
      <c r="M834" s="54"/>
      <c r="O834" s="1"/>
      <c r="P834" s="1"/>
      <c r="U834" s="1"/>
      <c r="X834" s="7"/>
      <c r="Y834" s="7"/>
      <c r="Z834" s="7"/>
      <c r="AA834" s="7"/>
    </row>
    <row r="835" spans="1:27" ht="16.5">
      <c r="A835" s="1"/>
      <c r="L835" s="1"/>
      <c r="M835" s="54"/>
      <c r="O835" s="1"/>
      <c r="P835" s="1"/>
      <c r="U835" s="1"/>
      <c r="X835" s="7"/>
      <c r="Y835" s="7"/>
      <c r="Z835" s="7"/>
      <c r="AA835" s="7"/>
    </row>
    <row r="836" spans="1:27" ht="16.5">
      <c r="A836" s="1"/>
      <c r="L836" s="1"/>
      <c r="M836" s="54"/>
      <c r="O836" s="1"/>
      <c r="P836" s="1"/>
      <c r="U836" s="1"/>
      <c r="X836" s="7"/>
      <c r="Y836" s="7"/>
      <c r="Z836" s="7"/>
      <c r="AA836" s="7"/>
    </row>
    <row r="837" spans="1:27" ht="16.5">
      <c r="A837" s="1"/>
      <c r="L837" s="1"/>
      <c r="M837" s="54"/>
      <c r="O837" s="1"/>
      <c r="P837" s="1"/>
      <c r="U837" s="1"/>
      <c r="X837" s="7"/>
      <c r="Y837" s="7"/>
      <c r="Z837" s="7"/>
      <c r="AA837" s="7"/>
    </row>
    <row r="838" spans="1:27" ht="16.5">
      <c r="A838" s="1"/>
      <c r="L838" s="1"/>
      <c r="M838" s="54"/>
      <c r="O838" s="1"/>
      <c r="P838" s="1"/>
      <c r="U838" s="1"/>
      <c r="X838" s="7"/>
      <c r="Y838" s="7"/>
      <c r="Z838" s="7"/>
      <c r="AA838" s="7"/>
    </row>
    <row r="839" spans="1:27" ht="16.5">
      <c r="A839" s="1"/>
      <c r="L839" s="1"/>
      <c r="M839" s="54"/>
      <c r="O839" s="1"/>
      <c r="P839" s="1"/>
      <c r="U839" s="1"/>
      <c r="X839" s="7"/>
      <c r="Y839" s="7"/>
      <c r="Z839" s="7"/>
      <c r="AA839" s="7"/>
    </row>
    <row r="840" spans="1:27" ht="16.5">
      <c r="A840" s="1"/>
      <c r="L840" s="1"/>
      <c r="M840" s="54"/>
      <c r="O840" s="1"/>
      <c r="P840" s="1"/>
      <c r="U840" s="1"/>
      <c r="X840" s="7"/>
      <c r="Y840" s="7"/>
      <c r="Z840" s="7"/>
      <c r="AA840" s="7"/>
    </row>
    <row r="841" spans="1:27" ht="16.5">
      <c r="A841" s="1"/>
      <c r="L841" s="1"/>
      <c r="M841" s="54"/>
      <c r="O841" s="1"/>
      <c r="P841" s="1"/>
      <c r="U841" s="1"/>
      <c r="X841" s="7"/>
      <c r="Y841" s="7"/>
      <c r="Z841" s="7"/>
      <c r="AA841" s="7"/>
    </row>
    <row r="842" spans="1:27" ht="16.5">
      <c r="A842" s="1"/>
      <c r="L842" s="1"/>
      <c r="M842" s="54"/>
      <c r="O842" s="1"/>
      <c r="P842" s="1"/>
      <c r="U842" s="1"/>
      <c r="X842" s="7"/>
      <c r="Y842" s="7"/>
      <c r="Z842" s="7"/>
      <c r="AA842" s="7"/>
    </row>
    <row r="843" spans="1:27" ht="16.5">
      <c r="A843" s="1"/>
      <c r="L843" s="1"/>
      <c r="M843" s="54"/>
      <c r="O843" s="1"/>
      <c r="P843" s="1"/>
      <c r="U843" s="1"/>
      <c r="X843" s="7"/>
      <c r="Y843" s="7"/>
      <c r="Z843" s="7"/>
      <c r="AA843" s="7"/>
    </row>
    <row r="844" spans="1:27" ht="16.5">
      <c r="A844" s="1"/>
      <c r="L844" s="1"/>
      <c r="M844" s="54"/>
      <c r="O844" s="1"/>
      <c r="P844" s="1"/>
      <c r="U844" s="1"/>
      <c r="X844" s="7"/>
      <c r="Y844" s="7"/>
      <c r="Z844" s="7"/>
      <c r="AA844" s="7"/>
    </row>
    <row r="845" spans="1:27" ht="16.5">
      <c r="A845" s="1"/>
      <c r="L845" s="1"/>
      <c r="M845" s="54"/>
      <c r="O845" s="1"/>
      <c r="P845" s="1"/>
      <c r="U845" s="1"/>
      <c r="X845" s="7"/>
      <c r="Y845" s="7"/>
      <c r="Z845" s="7"/>
      <c r="AA845" s="7"/>
    </row>
    <row r="846" spans="1:27" ht="16.5">
      <c r="A846" s="1"/>
      <c r="L846" s="1"/>
      <c r="M846" s="54"/>
      <c r="O846" s="1"/>
      <c r="P846" s="1"/>
      <c r="U846" s="1"/>
      <c r="X846" s="7"/>
      <c r="Y846" s="7"/>
      <c r="Z846" s="7"/>
      <c r="AA846" s="7"/>
    </row>
    <row r="847" spans="1:27" ht="16.5">
      <c r="A847" s="1"/>
      <c r="L847" s="1"/>
      <c r="M847" s="54"/>
      <c r="O847" s="1"/>
      <c r="P847" s="1"/>
      <c r="U847" s="1"/>
      <c r="X847" s="7"/>
      <c r="Y847" s="7"/>
      <c r="Z847" s="7"/>
      <c r="AA847" s="7"/>
    </row>
    <row r="848" spans="1:27" ht="16.5">
      <c r="A848" s="1"/>
      <c r="L848" s="1"/>
      <c r="M848" s="54"/>
      <c r="O848" s="1"/>
      <c r="P848" s="1"/>
      <c r="U848" s="1"/>
      <c r="X848" s="7"/>
      <c r="Y848" s="7"/>
      <c r="Z848" s="7"/>
      <c r="AA848" s="7"/>
    </row>
    <row r="849" spans="1:27" ht="16.5">
      <c r="A849" s="1"/>
      <c r="L849" s="1"/>
      <c r="M849" s="54"/>
      <c r="O849" s="1"/>
      <c r="P849" s="1"/>
      <c r="U849" s="1"/>
      <c r="X849" s="7"/>
      <c r="Y849" s="7"/>
      <c r="Z849" s="7"/>
      <c r="AA849" s="7"/>
    </row>
    <row r="850" spans="1:27" ht="16.5">
      <c r="A850" s="1"/>
      <c r="L850" s="1"/>
      <c r="M850" s="54"/>
      <c r="O850" s="1"/>
      <c r="P850" s="1"/>
      <c r="U850" s="1"/>
      <c r="X850" s="7"/>
      <c r="Y850" s="7"/>
      <c r="Z850" s="7"/>
      <c r="AA850" s="7"/>
    </row>
    <row r="851" spans="1:27" ht="16.5">
      <c r="A851" s="1"/>
      <c r="L851" s="1"/>
      <c r="M851" s="54"/>
      <c r="O851" s="1"/>
      <c r="P851" s="1"/>
      <c r="U851" s="1"/>
      <c r="X851" s="7"/>
      <c r="Y851" s="7"/>
      <c r="Z851" s="7"/>
      <c r="AA851" s="7"/>
    </row>
    <row r="852" spans="1:27" ht="16.5">
      <c r="A852" s="1"/>
      <c r="L852" s="1"/>
      <c r="M852" s="54"/>
      <c r="O852" s="1"/>
      <c r="P852" s="1"/>
      <c r="U852" s="1"/>
      <c r="X852" s="7"/>
      <c r="Y852" s="7"/>
      <c r="Z852" s="7"/>
      <c r="AA852" s="7"/>
    </row>
    <row r="853" spans="1:27" ht="16.5">
      <c r="A853" s="1"/>
      <c r="L853" s="1"/>
      <c r="M853" s="54"/>
      <c r="O853" s="1"/>
      <c r="P853" s="1"/>
      <c r="U853" s="1"/>
      <c r="X853" s="7"/>
      <c r="Y853" s="7"/>
      <c r="Z853" s="7"/>
      <c r="AA853" s="7"/>
    </row>
    <row r="854" spans="1:27" ht="16.5">
      <c r="A854" s="1"/>
      <c r="L854" s="1"/>
      <c r="M854" s="54"/>
      <c r="O854" s="1"/>
      <c r="P854" s="1"/>
      <c r="U854" s="1"/>
      <c r="X854" s="7"/>
      <c r="Y854" s="7"/>
      <c r="Z854" s="7"/>
      <c r="AA854" s="7"/>
    </row>
    <row r="855" spans="1:27" ht="16.5">
      <c r="A855" s="1"/>
      <c r="L855" s="1"/>
      <c r="M855" s="54"/>
      <c r="O855" s="1"/>
      <c r="P855" s="1"/>
      <c r="U855" s="1"/>
      <c r="X855" s="7"/>
      <c r="Y855" s="7"/>
      <c r="Z855" s="7"/>
      <c r="AA855" s="7"/>
    </row>
    <row r="856" spans="1:27" ht="16.5">
      <c r="A856" s="1"/>
      <c r="L856" s="1"/>
      <c r="M856" s="54"/>
      <c r="O856" s="1"/>
      <c r="P856" s="1"/>
      <c r="U856" s="1"/>
      <c r="X856" s="7"/>
      <c r="Y856" s="7"/>
      <c r="Z856" s="7"/>
      <c r="AA856" s="7"/>
    </row>
    <row r="857" spans="1:27" ht="16.5">
      <c r="A857" s="1"/>
      <c r="L857" s="1"/>
      <c r="M857" s="54"/>
      <c r="O857" s="1"/>
      <c r="P857" s="1"/>
      <c r="U857" s="1"/>
      <c r="X857" s="7"/>
      <c r="Y857" s="7"/>
      <c r="Z857" s="7"/>
      <c r="AA857" s="7"/>
    </row>
    <row r="858" spans="1:27" ht="16.5">
      <c r="A858" s="1"/>
      <c r="L858" s="1"/>
      <c r="M858" s="54"/>
      <c r="O858" s="1"/>
      <c r="P858" s="1"/>
      <c r="U858" s="1"/>
      <c r="X858" s="7"/>
      <c r="Y858" s="7"/>
      <c r="Z858" s="7"/>
      <c r="AA858" s="7"/>
    </row>
    <row r="859" spans="1:27" ht="16.5">
      <c r="A859" s="1"/>
      <c r="L859" s="1"/>
      <c r="M859" s="54"/>
      <c r="O859" s="1"/>
      <c r="P859" s="1"/>
      <c r="U859" s="1"/>
      <c r="X859" s="7"/>
      <c r="Y859" s="7"/>
      <c r="Z859" s="7"/>
      <c r="AA859" s="7"/>
    </row>
    <row r="860" spans="1:27" ht="16.5">
      <c r="A860" s="1"/>
      <c r="L860" s="1"/>
      <c r="M860" s="54"/>
      <c r="O860" s="1"/>
      <c r="P860" s="1"/>
      <c r="U860" s="1"/>
      <c r="X860" s="7"/>
      <c r="Y860" s="7"/>
      <c r="Z860" s="7"/>
      <c r="AA860" s="7"/>
    </row>
    <row r="861" spans="1:27" ht="16.5">
      <c r="A861" s="1"/>
      <c r="L861" s="1"/>
      <c r="M861" s="54"/>
      <c r="O861" s="1"/>
      <c r="P861" s="1"/>
      <c r="U861" s="1"/>
      <c r="X861" s="7"/>
      <c r="Y861" s="7"/>
      <c r="Z861" s="7"/>
      <c r="AA861" s="7"/>
    </row>
    <row r="862" spans="1:27" ht="16.5">
      <c r="A862" s="1"/>
      <c r="L862" s="1"/>
      <c r="M862" s="54"/>
      <c r="O862" s="1"/>
      <c r="P862" s="1"/>
      <c r="U862" s="1"/>
      <c r="X862" s="7"/>
      <c r="Y862" s="7"/>
      <c r="Z862" s="7"/>
      <c r="AA862" s="7"/>
    </row>
    <row r="863" spans="1:27" ht="16.5">
      <c r="A863" s="1"/>
      <c r="L863" s="1"/>
      <c r="M863" s="54"/>
      <c r="O863" s="1"/>
      <c r="P863" s="1"/>
      <c r="U863" s="1"/>
      <c r="X863" s="7"/>
      <c r="Y863" s="7"/>
      <c r="Z863" s="7"/>
      <c r="AA863" s="7"/>
    </row>
    <row r="864" spans="1:27" ht="16.5">
      <c r="A864" s="1"/>
      <c r="L864" s="1"/>
      <c r="M864" s="54"/>
      <c r="O864" s="1"/>
      <c r="P864" s="1"/>
      <c r="U864" s="1"/>
      <c r="X864" s="7"/>
      <c r="Y864" s="7"/>
      <c r="Z864" s="7"/>
      <c r="AA864" s="7"/>
    </row>
    <row r="865" spans="1:27" ht="16.5">
      <c r="A865" s="1"/>
      <c r="L865" s="1"/>
      <c r="M865" s="54"/>
      <c r="O865" s="1"/>
      <c r="P865" s="1"/>
      <c r="U865" s="1"/>
      <c r="X865" s="7"/>
      <c r="Y865" s="7"/>
      <c r="Z865" s="7"/>
      <c r="AA865" s="7"/>
    </row>
    <row r="866" spans="1:27" ht="16.5">
      <c r="A866" s="1"/>
      <c r="L866" s="1"/>
      <c r="M866" s="54"/>
      <c r="O866" s="1"/>
      <c r="P866" s="1"/>
      <c r="U866" s="1"/>
      <c r="X866" s="7"/>
      <c r="Y866" s="7"/>
      <c r="Z866" s="7"/>
      <c r="AA866" s="7"/>
    </row>
    <row r="867" spans="1:27" ht="16.5">
      <c r="A867" s="1"/>
      <c r="L867" s="1"/>
      <c r="M867" s="54"/>
      <c r="O867" s="1"/>
      <c r="P867" s="1"/>
      <c r="U867" s="1"/>
      <c r="X867" s="7"/>
      <c r="Y867" s="7"/>
      <c r="Z867" s="7"/>
      <c r="AA867" s="7"/>
    </row>
    <row r="868" spans="1:27" ht="16.5">
      <c r="A868" s="1"/>
      <c r="L868" s="1"/>
      <c r="M868" s="54"/>
      <c r="O868" s="1"/>
      <c r="P868" s="1"/>
      <c r="U868" s="1"/>
      <c r="X868" s="7"/>
      <c r="Y868" s="7"/>
      <c r="Z868" s="7"/>
      <c r="AA868" s="7"/>
    </row>
    <row r="869" spans="1:27" ht="16.5">
      <c r="A869" s="1"/>
      <c r="L869" s="1"/>
      <c r="M869" s="54"/>
      <c r="O869" s="1"/>
      <c r="P869" s="1"/>
      <c r="U869" s="1"/>
      <c r="X869" s="7"/>
      <c r="Y869" s="7"/>
      <c r="Z869" s="7"/>
      <c r="AA869" s="7"/>
    </row>
    <row r="870" spans="1:27" ht="16.5">
      <c r="A870" s="1"/>
      <c r="L870" s="1"/>
      <c r="M870" s="54"/>
      <c r="O870" s="1"/>
      <c r="P870" s="1"/>
      <c r="U870" s="1"/>
      <c r="X870" s="7"/>
      <c r="Y870" s="7"/>
      <c r="Z870" s="7"/>
      <c r="AA870" s="7"/>
    </row>
    <row r="871" spans="1:27" ht="16.5">
      <c r="A871" s="1"/>
      <c r="L871" s="1"/>
      <c r="M871" s="54"/>
      <c r="O871" s="1"/>
      <c r="P871" s="1"/>
      <c r="U871" s="1"/>
      <c r="X871" s="7"/>
      <c r="Y871" s="7"/>
      <c r="Z871" s="7"/>
      <c r="AA871" s="7"/>
    </row>
    <row r="872" spans="1:27" ht="16.5">
      <c r="A872" s="1"/>
      <c r="L872" s="1"/>
      <c r="M872" s="54"/>
      <c r="O872" s="1"/>
      <c r="P872" s="1"/>
      <c r="U872" s="1"/>
      <c r="X872" s="7"/>
      <c r="Y872" s="7"/>
      <c r="Z872" s="7"/>
      <c r="AA872" s="7"/>
    </row>
    <row r="873" spans="1:27" ht="16.5">
      <c r="A873" s="1"/>
      <c r="L873" s="1"/>
      <c r="M873" s="54"/>
      <c r="O873" s="1"/>
      <c r="P873" s="1"/>
      <c r="U873" s="1"/>
      <c r="X873" s="7"/>
      <c r="Y873" s="7"/>
      <c r="Z873" s="7"/>
      <c r="AA873" s="7"/>
    </row>
    <row r="874" spans="1:27" ht="16.5">
      <c r="A874" s="1"/>
      <c r="L874" s="1"/>
      <c r="M874" s="54"/>
      <c r="O874" s="1"/>
      <c r="P874" s="1"/>
      <c r="U874" s="1"/>
      <c r="X874" s="7"/>
      <c r="Y874" s="7"/>
      <c r="Z874" s="7"/>
      <c r="AA874" s="7"/>
    </row>
    <row r="875" spans="1:27" ht="16.5">
      <c r="A875" s="1"/>
      <c r="L875" s="1"/>
      <c r="M875" s="54"/>
      <c r="O875" s="1"/>
      <c r="P875" s="1"/>
      <c r="U875" s="1"/>
      <c r="X875" s="7"/>
      <c r="Y875" s="7"/>
      <c r="Z875" s="7"/>
      <c r="AA875" s="7"/>
    </row>
    <row r="876" spans="1:27" ht="16.5">
      <c r="A876" s="1"/>
      <c r="L876" s="1"/>
      <c r="M876" s="54"/>
      <c r="O876" s="1"/>
      <c r="P876" s="1"/>
      <c r="U876" s="1"/>
      <c r="X876" s="7"/>
      <c r="Y876" s="7"/>
      <c r="Z876" s="7"/>
      <c r="AA876" s="7"/>
    </row>
    <row r="877" spans="1:27" ht="16.5">
      <c r="A877" s="1"/>
      <c r="L877" s="1"/>
      <c r="M877" s="54"/>
      <c r="O877" s="1"/>
      <c r="P877" s="1"/>
      <c r="U877" s="1"/>
      <c r="X877" s="7"/>
      <c r="Y877" s="7"/>
      <c r="Z877" s="7"/>
      <c r="AA877" s="7"/>
    </row>
    <row r="878" spans="1:27" ht="16.5">
      <c r="A878" s="1"/>
      <c r="L878" s="1"/>
      <c r="M878" s="54"/>
      <c r="O878" s="1"/>
      <c r="P878" s="1"/>
      <c r="U878" s="1"/>
      <c r="X878" s="7"/>
      <c r="Y878" s="7"/>
      <c r="Z878" s="7"/>
      <c r="AA878" s="7"/>
    </row>
    <row r="879" spans="1:27" ht="16.5">
      <c r="A879" s="1"/>
      <c r="L879" s="1"/>
      <c r="M879" s="54"/>
      <c r="O879" s="1"/>
      <c r="P879" s="1"/>
      <c r="U879" s="1"/>
      <c r="X879" s="7"/>
      <c r="Y879" s="7"/>
      <c r="Z879" s="7"/>
      <c r="AA879" s="7"/>
    </row>
    <row r="880" spans="1:27" ht="16.5">
      <c r="A880" s="1"/>
      <c r="L880" s="1"/>
      <c r="M880" s="54"/>
      <c r="O880" s="1"/>
      <c r="P880" s="1"/>
      <c r="U880" s="1"/>
      <c r="X880" s="7"/>
      <c r="Y880" s="7"/>
      <c r="Z880" s="7"/>
      <c r="AA880" s="7"/>
    </row>
    <row r="881" spans="1:27" ht="16.5">
      <c r="A881" s="1"/>
      <c r="L881" s="1"/>
      <c r="M881" s="54"/>
      <c r="O881" s="1"/>
      <c r="P881" s="1"/>
      <c r="U881" s="1"/>
      <c r="X881" s="7"/>
      <c r="Y881" s="7"/>
      <c r="Z881" s="7"/>
      <c r="AA881" s="7"/>
    </row>
    <row r="882" spans="1:27" ht="16.5">
      <c r="A882" s="1"/>
      <c r="L882" s="1"/>
      <c r="M882" s="54"/>
      <c r="O882" s="1"/>
      <c r="P882" s="1"/>
      <c r="U882" s="1"/>
      <c r="X882" s="7"/>
      <c r="Y882" s="7"/>
      <c r="Z882" s="7"/>
      <c r="AA882" s="7"/>
    </row>
    <row r="883" spans="1:27" ht="16.5">
      <c r="A883" s="1"/>
      <c r="L883" s="1"/>
      <c r="M883" s="54"/>
      <c r="O883" s="1"/>
      <c r="P883" s="1"/>
      <c r="U883" s="1"/>
      <c r="X883" s="7"/>
      <c r="Y883" s="7"/>
      <c r="Z883" s="7"/>
      <c r="AA883" s="7"/>
    </row>
    <row r="884" spans="1:27" ht="16.5">
      <c r="A884" s="1"/>
      <c r="L884" s="1"/>
      <c r="M884" s="54"/>
      <c r="O884" s="1"/>
      <c r="P884" s="1"/>
      <c r="U884" s="1"/>
      <c r="X884" s="7"/>
      <c r="Y884" s="7"/>
      <c r="Z884" s="7"/>
      <c r="AA884" s="7"/>
    </row>
    <row r="885" spans="1:27" ht="16.5">
      <c r="A885" s="1"/>
      <c r="L885" s="1"/>
      <c r="M885" s="54"/>
      <c r="O885" s="1"/>
      <c r="P885" s="1"/>
      <c r="U885" s="1"/>
      <c r="X885" s="7"/>
      <c r="Y885" s="7"/>
      <c r="Z885" s="7"/>
      <c r="AA885" s="7"/>
    </row>
    <row r="886" spans="1:27" ht="16.5">
      <c r="A886" s="1"/>
      <c r="L886" s="1"/>
      <c r="M886" s="54"/>
      <c r="O886" s="1"/>
      <c r="P886" s="1"/>
      <c r="U886" s="1"/>
      <c r="X886" s="7"/>
      <c r="Y886" s="7"/>
      <c r="Z886" s="7"/>
      <c r="AA886" s="7"/>
    </row>
    <row r="887" spans="1:27" ht="16.5">
      <c r="A887" s="1"/>
      <c r="L887" s="1"/>
      <c r="M887" s="54"/>
      <c r="O887" s="1"/>
      <c r="P887" s="1"/>
      <c r="U887" s="1"/>
      <c r="X887" s="7"/>
      <c r="Y887" s="7"/>
      <c r="Z887" s="7"/>
      <c r="AA887" s="7"/>
    </row>
    <row r="888" spans="1:27" ht="16.5">
      <c r="A888" s="1"/>
      <c r="L888" s="1"/>
      <c r="M888" s="54"/>
      <c r="O888" s="1"/>
      <c r="P888" s="1"/>
      <c r="U888" s="1"/>
      <c r="X888" s="7"/>
      <c r="Y888" s="7"/>
      <c r="Z888" s="7"/>
      <c r="AA888" s="7"/>
    </row>
    <row r="889" spans="1:27" ht="16.5">
      <c r="A889" s="1"/>
      <c r="L889" s="1"/>
      <c r="M889" s="54"/>
      <c r="O889" s="1"/>
      <c r="P889" s="1"/>
      <c r="U889" s="1"/>
      <c r="X889" s="7"/>
      <c r="Y889" s="7"/>
      <c r="Z889" s="7"/>
      <c r="AA889" s="7"/>
    </row>
    <row r="890" spans="1:27" ht="16.5">
      <c r="A890" s="1"/>
      <c r="L890" s="1"/>
      <c r="M890" s="54"/>
      <c r="O890" s="1"/>
      <c r="P890" s="1"/>
      <c r="U890" s="1"/>
      <c r="X890" s="7"/>
      <c r="Y890" s="7"/>
      <c r="Z890" s="7"/>
      <c r="AA890" s="7"/>
    </row>
    <row r="891" spans="1:27" ht="16.5">
      <c r="A891" s="1"/>
      <c r="L891" s="1"/>
      <c r="M891" s="54"/>
      <c r="O891" s="1"/>
      <c r="P891" s="1"/>
      <c r="U891" s="1"/>
      <c r="X891" s="7"/>
      <c r="Y891" s="7"/>
      <c r="Z891" s="7"/>
      <c r="AA891" s="7"/>
    </row>
    <row r="892" spans="1:27" ht="16.5">
      <c r="A892" s="1"/>
      <c r="L892" s="1"/>
      <c r="M892" s="54"/>
      <c r="O892" s="1"/>
      <c r="P892" s="1"/>
      <c r="U892" s="1"/>
      <c r="X892" s="7"/>
      <c r="Y892" s="7"/>
      <c r="Z892" s="7"/>
      <c r="AA892" s="7"/>
    </row>
    <row r="893" spans="1:27" ht="16.5">
      <c r="A893" s="1"/>
      <c r="L893" s="1"/>
      <c r="M893" s="54"/>
      <c r="O893" s="1"/>
      <c r="P893" s="1"/>
      <c r="U893" s="1"/>
      <c r="X893" s="7"/>
      <c r="Y893" s="7"/>
      <c r="Z893" s="7"/>
      <c r="AA893" s="7"/>
    </row>
    <row r="894" spans="1:27" ht="16.5">
      <c r="A894" s="1"/>
      <c r="L894" s="1"/>
      <c r="M894" s="54"/>
      <c r="O894" s="1"/>
      <c r="P894" s="1"/>
      <c r="U894" s="1"/>
      <c r="X894" s="7"/>
      <c r="Y894" s="7"/>
      <c r="Z894" s="7"/>
      <c r="AA894" s="7"/>
    </row>
    <row r="895" spans="1:27" ht="16.5">
      <c r="A895" s="1"/>
      <c r="L895" s="1"/>
      <c r="M895" s="54"/>
      <c r="O895" s="1"/>
      <c r="P895" s="1"/>
      <c r="U895" s="1"/>
      <c r="X895" s="7"/>
      <c r="Y895" s="7"/>
      <c r="Z895" s="7"/>
      <c r="AA895" s="7"/>
    </row>
    <row r="896" spans="1:27" ht="16.5">
      <c r="A896" s="1"/>
      <c r="L896" s="1"/>
      <c r="M896" s="54"/>
      <c r="O896" s="1"/>
      <c r="P896" s="1"/>
      <c r="U896" s="1"/>
      <c r="X896" s="7"/>
      <c r="Y896" s="7"/>
      <c r="Z896" s="7"/>
      <c r="AA896" s="7"/>
    </row>
    <row r="897" spans="1:27" ht="16.5">
      <c r="A897" s="1"/>
      <c r="L897" s="1"/>
      <c r="M897" s="54"/>
      <c r="O897" s="1"/>
      <c r="P897" s="1"/>
      <c r="U897" s="1"/>
      <c r="X897" s="7"/>
      <c r="Y897" s="7"/>
      <c r="Z897" s="7"/>
      <c r="AA897" s="7"/>
    </row>
    <row r="898" spans="1:27" ht="16.5">
      <c r="A898" s="1"/>
      <c r="L898" s="1"/>
      <c r="M898" s="54"/>
      <c r="O898" s="1"/>
      <c r="P898" s="1"/>
      <c r="U898" s="1"/>
      <c r="X898" s="7"/>
      <c r="Y898" s="7"/>
      <c r="Z898" s="7"/>
      <c r="AA898" s="7"/>
    </row>
    <row r="899" spans="1:27" ht="16.5">
      <c r="A899" s="1"/>
      <c r="L899" s="1"/>
      <c r="M899" s="54"/>
      <c r="O899" s="1"/>
      <c r="P899" s="1"/>
      <c r="U899" s="1"/>
      <c r="X899" s="7"/>
      <c r="Y899" s="7"/>
      <c r="Z899" s="7"/>
      <c r="AA899" s="7"/>
    </row>
    <row r="900" spans="1:27" ht="16.5">
      <c r="A900" s="1"/>
      <c r="L900" s="1"/>
      <c r="M900" s="54"/>
      <c r="O900" s="1"/>
      <c r="P900" s="1"/>
      <c r="U900" s="1"/>
      <c r="X900" s="7"/>
      <c r="Y900" s="7"/>
      <c r="Z900" s="7"/>
      <c r="AA900" s="7"/>
    </row>
    <row r="901" spans="1:27" ht="16.5">
      <c r="A901" s="1"/>
      <c r="L901" s="1"/>
      <c r="M901" s="54"/>
      <c r="O901" s="1"/>
      <c r="P901" s="1"/>
      <c r="U901" s="1"/>
      <c r="X901" s="7"/>
      <c r="Y901" s="7"/>
      <c r="Z901" s="7"/>
      <c r="AA901" s="7"/>
    </row>
    <row r="902" spans="1:27" ht="16.5">
      <c r="A902" s="1"/>
      <c r="L902" s="1"/>
      <c r="M902" s="54"/>
      <c r="O902" s="1"/>
      <c r="P902" s="1"/>
      <c r="U902" s="1"/>
      <c r="X902" s="7"/>
      <c r="Y902" s="7"/>
      <c r="Z902" s="7"/>
      <c r="AA902" s="7"/>
    </row>
    <row r="903" spans="1:27" ht="16.5">
      <c r="A903" s="1"/>
      <c r="L903" s="1"/>
      <c r="M903" s="54"/>
      <c r="O903" s="1"/>
      <c r="P903" s="1"/>
      <c r="U903" s="1"/>
      <c r="X903" s="7"/>
      <c r="Y903" s="7"/>
      <c r="Z903" s="7"/>
      <c r="AA903" s="7"/>
    </row>
    <row r="904" spans="1:27" ht="16.5">
      <c r="A904" s="1"/>
      <c r="L904" s="1"/>
      <c r="M904" s="54"/>
      <c r="O904" s="1"/>
      <c r="P904" s="1"/>
      <c r="U904" s="1"/>
      <c r="X904" s="7"/>
      <c r="Y904" s="7"/>
      <c r="Z904" s="7"/>
      <c r="AA904" s="7"/>
    </row>
    <row r="905" spans="1:27" ht="16.5">
      <c r="A905" s="1"/>
      <c r="L905" s="1"/>
      <c r="M905" s="54"/>
      <c r="O905" s="1"/>
      <c r="P905" s="1"/>
      <c r="U905" s="1"/>
      <c r="X905" s="7"/>
      <c r="Y905" s="7"/>
      <c r="Z905" s="7"/>
      <c r="AA905" s="7"/>
    </row>
    <row r="906" spans="1:27" ht="16.5">
      <c r="A906" s="1"/>
      <c r="L906" s="1"/>
      <c r="M906" s="54"/>
      <c r="O906" s="1"/>
      <c r="P906" s="1"/>
      <c r="U906" s="1"/>
      <c r="X906" s="7"/>
      <c r="Y906" s="7"/>
      <c r="Z906" s="7"/>
      <c r="AA906" s="7"/>
    </row>
    <row r="907" spans="1:27" ht="16.5">
      <c r="A907" s="1"/>
      <c r="L907" s="1"/>
      <c r="M907" s="54"/>
      <c r="O907" s="1"/>
      <c r="P907" s="1"/>
      <c r="U907" s="1"/>
      <c r="X907" s="7"/>
      <c r="Y907" s="7"/>
      <c r="Z907" s="7"/>
      <c r="AA907" s="7"/>
    </row>
    <row r="908" spans="1:27" ht="16.5">
      <c r="A908" s="1"/>
      <c r="L908" s="1"/>
      <c r="M908" s="54"/>
      <c r="O908" s="1"/>
      <c r="P908" s="1"/>
      <c r="U908" s="1"/>
      <c r="X908" s="7"/>
      <c r="Y908" s="7"/>
      <c r="Z908" s="7"/>
      <c r="AA908" s="7"/>
    </row>
    <row r="909" spans="1:27" ht="16.5">
      <c r="A909" s="1"/>
      <c r="L909" s="1"/>
      <c r="M909" s="54"/>
      <c r="O909" s="1"/>
      <c r="P909" s="1"/>
      <c r="U909" s="1"/>
      <c r="X909" s="7"/>
      <c r="Y909" s="7"/>
      <c r="Z909" s="7"/>
      <c r="AA909" s="7"/>
    </row>
    <row r="910" spans="1:27" ht="16.5">
      <c r="A910" s="1"/>
      <c r="L910" s="1"/>
      <c r="M910" s="54"/>
      <c r="O910" s="1"/>
      <c r="P910" s="1"/>
      <c r="U910" s="1"/>
      <c r="X910" s="7"/>
      <c r="Y910" s="7"/>
      <c r="Z910" s="7"/>
      <c r="AA910" s="7"/>
    </row>
    <row r="911" spans="1:27" ht="16.5">
      <c r="A911" s="1"/>
      <c r="L911" s="1"/>
      <c r="M911" s="54"/>
      <c r="O911" s="1"/>
      <c r="P911" s="1"/>
      <c r="U911" s="1"/>
      <c r="X911" s="7"/>
      <c r="Y911" s="7"/>
      <c r="Z911" s="7"/>
      <c r="AA911" s="7"/>
    </row>
    <row r="912" spans="1:27" ht="16.5">
      <c r="A912" s="1"/>
      <c r="L912" s="1"/>
      <c r="M912" s="54"/>
      <c r="O912" s="1"/>
      <c r="P912" s="1"/>
      <c r="U912" s="1"/>
      <c r="X912" s="7"/>
      <c r="Y912" s="7"/>
      <c r="Z912" s="7"/>
      <c r="AA912" s="7"/>
    </row>
    <row r="913" spans="1:27" ht="16.5">
      <c r="A913" s="1"/>
      <c r="L913" s="1"/>
      <c r="M913" s="54"/>
      <c r="O913" s="1"/>
      <c r="P913" s="1"/>
      <c r="U913" s="1"/>
      <c r="X913" s="7"/>
      <c r="Y913" s="7"/>
      <c r="Z913" s="7"/>
      <c r="AA913" s="7"/>
    </row>
    <row r="914" spans="1:27" ht="16.5">
      <c r="A914" s="1"/>
      <c r="L914" s="1"/>
      <c r="M914" s="54"/>
      <c r="O914" s="1"/>
      <c r="P914" s="1"/>
      <c r="U914" s="1"/>
      <c r="X914" s="7"/>
      <c r="Y914" s="7"/>
      <c r="Z914" s="7"/>
      <c r="AA914" s="7"/>
    </row>
    <row r="915" spans="1:27" ht="16.5">
      <c r="A915" s="1"/>
      <c r="L915" s="1"/>
      <c r="M915" s="54"/>
      <c r="O915" s="1"/>
      <c r="P915" s="1"/>
      <c r="U915" s="1"/>
      <c r="X915" s="7"/>
      <c r="Y915" s="7"/>
      <c r="Z915" s="7"/>
      <c r="AA915" s="7"/>
    </row>
    <row r="916" spans="1:27" ht="16.5">
      <c r="A916" s="1"/>
      <c r="L916" s="1"/>
      <c r="M916" s="54"/>
      <c r="O916" s="1"/>
      <c r="P916" s="1"/>
      <c r="U916" s="1"/>
      <c r="X916" s="7"/>
      <c r="Y916" s="7"/>
      <c r="Z916" s="7"/>
      <c r="AA916" s="7"/>
    </row>
    <row r="917" spans="1:27" ht="16.5">
      <c r="A917" s="1"/>
      <c r="L917" s="1"/>
      <c r="M917" s="54"/>
      <c r="O917" s="1"/>
      <c r="P917" s="1"/>
      <c r="U917" s="1"/>
      <c r="X917" s="7"/>
      <c r="Y917" s="7"/>
      <c r="Z917" s="7"/>
      <c r="AA917" s="7"/>
    </row>
    <row r="918" spans="1:27" ht="16.5">
      <c r="A918" s="1"/>
      <c r="L918" s="1"/>
      <c r="M918" s="54"/>
      <c r="O918" s="1"/>
      <c r="P918" s="1"/>
      <c r="U918" s="1"/>
      <c r="X918" s="7"/>
      <c r="Y918" s="7"/>
      <c r="Z918" s="7"/>
      <c r="AA918" s="7"/>
    </row>
    <row r="919" spans="1:27" ht="16.5">
      <c r="A919" s="1"/>
      <c r="L919" s="1"/>
      <c r="M919" s="54"/>
      <c r="O919" s="1"/>
      <c r="P919" s="1"/>
      <c r="U919" s="1"/>
      <c r="X919" s="7"/>
      <c r="Y919" s="7"/>
      <c r="Z919" s="7"/>
      <c r="AA919" s="7"/>
    </row>
    <row r="920" spans="1:27" ht="16.5">
      <c r="A920" s="1"/>
      <c r="L920" s="1"/>
      <c r="M920" s="54"/>
      <c r="O920" s="1"/>
      <c r="P920" s="1"/>
      <c r="U920" s="1"/>
      <c r="X920" s="7"/>
      <c r="Y920" s="7"/>
      <c r="Z920" s="7"/>
      <c r="AA920" s="7"/>
    </row>
    <row r="921" spans="1:27" ht="16.5">
      <c r="A921" s="1"/>
      <c r="L921" s="1"/>
      <c r="M921" s="54"/>
      <c r="O921" s="1"/>
      <c r="P921" s="1"/>
      <c r="U921" s="1"/>
      <c r="X921" s="7"/>
      <c r="Y921" s="7"/>
      <c r="Z921" s="7"/>
      <c r="AA921" s="7"/>
    </row>
    <row r="922" spans="1:27" ht="16.5">
      <c r="A922" s="1"/>
      <c r="L922" s="1"/>
      <c r="M922" s="54"/>
      <c r="O922" s="1"/>
      <c r="P922" s="1"/>
      <c r="U922" s="1"/>
      <c r="X922" s="7"/>
      <c r="Y922" s="7"/>
      <c r="Z922" s="7"/>
      <c r="AA922" s="7"/>
    </row>
    <row r="923" spans="1:27" ht="16.5">
      <c r="A923" s="1"/>
      <c r="L923" s="1"/>
      <c r="M923" s="54"/>
      <c r="O923" s="1"/>
      <c r="P923" s="1"/>
      <c r="U923" s="1"/>
      <c r="X923" s="7"/>
      <c r="Y923" s="7"/>
      <c r="Z923" s="7"/>
      <c r="AA923" s="7"/>
    </row>
    <row r="924" spans="1:27" ht="16.5">
      <c r="A924" s="1"/>
      <c r="L924" s="1"/>
      <c r="M924" s="54"/>
      <c r="O924" s="1"/>
      <c r="P924" s="1"/>
      <c r="U924" s="1"/>
      <c r="X924" s="7"/>
      <c r="Y924" s="7"/>
      <c r="Z924" s="7"/>
      <c r="AA924" s="7"/>
    </row>
    <row r="925" spans="1:27" ht="16.5">
      <c r="A925" s="1"/>
      <c r="L925" s="1"/>
      <c r="M925" s="54"/>
      <c r="O925" s="1"/>
      <c r="P925" s="1"/>
      <c r="U925" s="1"/>
      <c r="X925" s="7"/>
      <c r="Y925" s="7"/>
      <c r="Z925" s="7"/>
      <c r="AA925" s="7"/>
    </row>
    <row r="926" spans="1:27" ht="16.5">
      <c r="A926" s="1"/>
      <c r="L926" s="1"/>
      <c r="M926" s="54"/>
      <c r="O926" s="1"/>
      <c r="P926" s="1"/>
      <c r="U926" s="1"/>
      <c r="X926" s="7"/>
      <c r="Y926" s="7"/>
      <c r="Z926" s="7"/>
      <c r="AA926" s="7"/>
    </row>
    <row r="927" spans="1:27" ht="16.5">
      <c r="A927" s="1"/>
      <c r="L927" s="1"/>
      <c r="M927" s="54"/>
      <c r="O927" s="1"/>
      <c r="P927" s="1"/>
      <c r="U927" s="1"/>
      <c r="X927" s="7"/>
      <c r="Y927" s="7"/>
      <c r="Z927" s="7"/>
      <c r="AA927" s="7"/>
    </row>
    <row r="928" spans="1:27" ht="16.5">
      <c r="A928" s="1"/>
      <c r="L928" s="1"/>
      <c r="M928" s="54"/>
      <c r="O928" s="1"/>
      <c r="P928" s="1"/>
      <c r="U928" s="1"/>
      <c r="X928" s="7"/>
      <c r="Y928" s="7"/>
      <c r="Z928" s="7"/>
      <c r="AA928" s="7"/>
    </row>
    <row r="929" spans="1:27" ht="16.5">
      <c r="A929" s="1"/>
      <c r="L929" s="1"/>
      <c r="M929" s="54"/>
      <c r="O929" s="1"/>
      <c r="P929" s="1"/>
      <c r="U929" s="1"/>
      <c r="X929" s="7"/>
      <c r="Y929" s="7"/>
      <c r="Z929" s="7"/>
      <c r="AA929" s="7"/>
    </row>
    <row r="930" spans="1:27" ht="16.5">
      <c r="A930" s="1"/>
      <c r="L930" s="1"/>
      <c r="M930" s="54"/>
      <c r="O930" s="1"/>
      <c r="P930" s="1"/>
      <c r="U930" s="1"/>
      <c r="X930" s="7"/>
      <c r="Y930" s="7"/>
      <c r="Z930" s="7"/>
      <c r="AA930" s="7"/>
    </row>
    <row r="931" spans="1:27" ht="16.5">
      <c r="A931" s="1"/>
      <c r="L931" s="1"/>
      <c r="M931" s="54"/>
      <c r="O931" s="1"/>
      <c r="P931" s="1"/>
      <c r="U931" s="1"/>
      <c r="X931" s="7"/>
      <c r="Y931" s="7"/>
      <c r="Z931" s="7"/>
      <c r="AA931" s="7"/>
    </row>
    <row r="932" spans="1:27" ht="16.5">
      <c r="A932" s="1"/>
      <c r="L932" s="1"/>
      <c r="M932" s="54"/>
      <c r="O932" s="1"/>
      <c r="P932" s="1"/>
      <c r="U932" s="1"/>
      <c r="X932" s="7"/>
      <c r="Y932" s="7"/>
      <c r="Z932" s="7"/>
      <c r="AA932" s="7"/>
    </row>
    <row r="933" spans="1:27" ht="16.5">
      <c r="A933" s="1"/>
      <c r="L933" s="1"/>
      <c r="M933" s="54"/>
      <c r="O933" s="1"/>
      <c r="P933" s="1"/>
      <c r="U933" s="1"/>
      <c r="X933" s="7"/>
      <c r="Y933" s="7"/>
      <c r="Z933" s="7"/>
      <c r="AA933" s="7"/>
    </row>
    <row r="934" spans="1:27" ht="16.5">
      <c r="A934" s="1"/>
      <c r="L934" s="1"/>
      <c r="M934" s="54"/>
      <c r="O934" s="1"/>
      <c r="P934" s="1"/>
      <c r="U934" s="1"/>
      <c r="X934" s="7"/>
      <c r="Y934" s="7"/>
      <c r="Z934" s="7"/>
      <c r="AA934" s="7"/>
    </row>
    <row r="935" spans="1:27" ht="16.5">
      <c r="A935" s="1"/>
      <c r="L935" s="1"/>
      <c r="M935" s="54"/>
      <c r="O935" s="1"/>
      <c r="P935" s="1"/>
      <c r="U935" s="1"/>
      <c r="X935" s="7"/>
      <c r="Y935" s="7"/>
      <c r="Z935" s="7"/>
      <c r="AA935" s="7"/>
    </row>
    <row r="936" spans="1:27" ht="16.5">
      <c r="A936" s="1"/>
      <c r="L936" s="1"/>
      <c r="M936" s="54"/>
      <c r="O936" s="1"/>
      <c r="P936" s="1"/>
      <c r="U936" s="1"/>
      <c r="X936" s="7"/>
      <c r="Y936" s="7"/>
      <c r="Z936" s="7"/>
      <c r="AA936" s="7"/>
    </row>
    <row r="937" spans="1:27" ht="16.5">
      <c r="A937" s="1"/>
      <c r="L937" s="1"/>
      <c r="M937" s="54"/>
      <c r="O937" s="1"/>
      <c r="P937" s="1"/>
      <c r="U937" s="1"/>
      <c r="X937" s="7"/>
      <c r="Y937" s="7"/>
      <c r="Z937" s="7"/>
      <c r="AA937" s="7"/>
    </row>
    <row r="938" spans="1:27" ht="16.5">
      <c r="A938" s="1"/>
      <c r="L938" s="1"/>
      <c r="M938" s="54"/>
      <c r="O938" s="1"/>
      <c r="P938" s="1"/>
      <c r="U938" s="1"/>
      <c r="X938" s="7"/>
      <c r="Y938" s="7"/>
      <c r="Z938" s="7"/>
      <c r="AA938" s="7"/>
    </row>
    <row r="939" spans="1:27" ht="16.5">
      <c r="A939" s="1"/>
      <c r="L939" s="1"/>
      <c r="M939" s="54"/>
      <c r="O939" s="1"/>
      <c r="P939" s="1"/>
      <c r="U939" s="1"/>
      <c r="X939" s="7"/>
      <c r="Y939" s="7"/>
      <c r="Z939" s="7"/>
      <c r="AA939" s="7"/>
    </row>
    <row r="940" spans="1:27" ht="16.5">
      <c r="A940" s="1"/>
      <c r="L940" s="1"/>
      <c r="M940" s="54"/>
      <c r="O940" s="1"/>
      <c r="P940" s="1"/>
      <c r="U940" s="1"/>
      <c r="X940" s="7"/>
      <c r="Y940" s="7"/>
      <c r="Z940" s="7"/>
      <c r="AA940" s="7"/>
    </row>
    <row r="941" spans="1:27" ht="16.5">
      <c r="A941" s="1"/>
      <c r="L941" s="1"/>
      <c r="M941" s="54"/>
      <c r="O941" s="1"/>
      <c r="P941" s="1"/>
      <c r="U941" s="1"/>
      <c r="X941" s="7"/>
      <c r="Y941" s="7"/>
      <c r="Z941" s="7"/>
      <c r="AA941" s="7"/>
    </row>
    <row r="942" spans="1:27" ht="16.5">
      <c r="A942" s="1"/>
      <c r="L942" s="1"/>
      <c r="M942" s="54"/>
      <c r="O942" s="1"/>
      <c r="P942" s="1"/>
      <c r="U942" s="1"/>
      <c r="X942" s="7"/>
      <c r="Y942" s="7"/>
      <c r="Z942" s="7"/>
      <c r="AA942" s="7"/>
    </row>
    <row r="943" spans="1:27" ht="16.5">
      <c r="A943" s="1"/>
      <c r="L943" s="1"/>
      <c r="M943" s="54"/>
      <c r="O943" s="1"/>
      <c r="P943" s="1"/>
      <c r="U943" s="1"/>
      <c r="X943" s="7"/>
      <c r="Y943" s="7"/>
      <c r="Z943" s="7"/>
      <c r="AA943" s="7"/>
    </row>
    <row r="944" spans="1:27" ht="16.5">
      <c r="A944" s="1"/>
      <c r="L944" s="1"/>
      <c r="M944" s="54"/>
      <c r="O944" s="1"/>
      <c r="P944" s="1"/>
      <c r="U944" s="1"/>
      <c r="X944" s="7"/>
      <c r="Y944" s="7"/>
      <c r="Z944" s="7"/>
      <c r="AA944" s="7"/>
    </row>
    <row r="945" spans="1:27" ht="16.5">
      <c r="A945" s="1"/>
      <c r="L945" s="1"/>
      <c r="M945" s="54"/>
      <c r="O945" s="1"/>
      <c r="P945" s="1"/>
      <c r="U945" s="1"/>
      <c r="X945" s="7"/>
      <c r="Y945" s="7"/>
      <c r="Z945" s="7"/>
      <c r="AA945" s="7"/>
    </row>
    <row r="946" spans="1:27" ht="16.5">
      <c r="A946" s="1"/>
      <c r="L946" s="1"/>
      <c r="M946" s="54"/>
      <c r="O946" s="1"/>
      <c r="P946" s="1"/>
      <c r="U946" s="1"/>
      <c r="X946" s="7"/>
      <c r="Y946" s="7"/>
      <c r="Z946" s="7"/>
      <c r="AA946" s="7"/>
    </row>
    <row r="947" spans="1:27" ht="16.5">
      <c r="A947" s="1"/>
      <c r="L947" s="1"/>
      <c r="M947" s="54"/>
      <c r="O947" s="1"/>
      <c r="P947" s="1"/>
      <c r="U947" s="1"/>
      <c r="X947" s="7"/>
      <c r="Y947" s="7"/>
      <c r="Z947" s="7"/>
      <c r="AA947" s="7"/>
    </row>
    <row r="948" spans="1:27" ht="16.5">
      <c r="A948" s="1"/>
      <c r="L948" s="1"/>
      <c r="M948" s="54"/>
      <c r="O948" s="1"/>
      <c r="P948" s="1"/>
      <c r="U948" s="1"/>
      <c r="X948" s="7"/>
      <c r="Y948" s="7"/>
      <c r="Z948" s="7"/>
      <c r="AA948" s="7"/>
    </row>
    <row r="949" spans="1:27" ht="16.5">
      <c r="A949" s="1"/>
      <c r="L949" s="1"/>
      <c r="M949" s="54"/>
      <c r="O949" s="1"/>
      <c r="P949" s="1"/>
      <c r="U949" s="1"/>
      <c r="X949" s="7"/>
      <c r="Y949" s="7"/>
      <c r="Z949" s="7"/>
      <c r="AA949" s="7"/>
    </row>
    <row r="950" spans="1:27" ht="16.5">
      <c r="A950" s="1"/>
      <c r="L950" s="1"/>
      <c r="M950" s="54"/>
      <c r="O950" s="1"/>
      <c r="P950" s="1"/>
      <c r="U950" s="1"/>
      <c r="X950" s="7"/>
      <c r="Y950" s="7"/>
      <c r="Z950" s="7"/>
      <c r="AA950" s="7"/>
    </row>
    <row r="951" spans="1:27" ht="16.5">
      <c r="A951" s="1"/>
      <c r="L951" s="1"/>
      <c r="M951" s="54"/>
      <c r="O951" s="1"/>
      <c r="P951" s="1"/>
      <c r="U951" s="1"/>
      <c r="X951" s="7"/>
      <c r="Y951" s="7"/>
      <c r="Z951" s="7"/>
      <c r="AA951" s="7"/>
    </row>
    <row r="952" spans="1:27" ht="16.5">
      <c r="A952" s="1"/>
      <c r="L952" s="1"/>
      <c r="M952" s="54"/>
      <c r="O952" s="1"/>
      <c r="P952" s="1"/>
      <c r="U952" s="1"/>
      <c r="X952" s="7"/>
      <c r="Y952" s="7"/>
      <c r="Z952" s="7"/>
      <c r="AA952" s="7"/>
    </row>
    <row r="953" spans="1:27" ht="16.5">
      <c r="A953" s="1"/>
      <c r="L953" s="1"/>
      <c r="M953" s="54"/>
      <c r="O953" s="1"/>
      <c r="P953" s="1"/>
      <c r="U953" s="1"/>
      <c r="X953" s="7"/>
      <c r="Y953" s="7"/>
      <c r="Z953" s="7"/>
      <c r="AA953" s="7"/>
    </row>
    <row r="954" spans="1:27" ht="16.5">
      <c r="A954" s="1"/>
      <c r="L954" s="1"/>
      <c r="M954" s="54"/>
      <c r="O954" s="1"/>
      <c r="P954" s="1"/>
      <c r="U954" s="1"/>
      <c r="X954" s="7"/>
      <c r="Y954" s="7"/>
      <c r="Z954" s="7"/>
      <c r="AA954" s="7"/>
    </row>
    <row r="955" spans="1:27" ht="16.5">
      <c r="A955" s="1"/>
      <c r="L955" s="1"/>
      <c r="M955" s="54"/>
      <c r="O955" s="1"/>
      <c r="P955" s="1"/>
      <c r="U955" s="1"/>
      <c r="X955" s="7"/>
      <c r="Y955" s="7"/>
      <c r="Z955" s="7"/>
      <c r="AA955" s="7"/>
    </row>
    <row r="956" spans="1:27" ht="16.5">
      <c r="A956" s="1"/>
      <c r="L956" s="1"/>
      <c r="M956" s="54"/>
      <c r="O956" s="1"/>
      <c r="P956" s="1"/>
      <c r="U956" s="1"/>
      <c r="X956" s="7"/>
      <c r="Y956" s="7"/>
      <c r="Z956" s="7"/>
      <c r="AA956" s="7"/>
    </row>
    <row r="957" spans="1:27" ht="16.5">
      <c r="A957" s="1"/>
      <c r="L957" s="1"/>
      <c r="M957" s="54"/>
      <c r="O957" s="1"/>
      <c r="P957" s="1"/>
      <c r="U957" s="1"/>
      <c r="X957" s="7"/>
      <c r="Y957" s="7"/>
      <c r="Z957" s="7"/>
      <c r="AA957" s="7"/>
    </row>
    <row r="958" spans="1:27" ht="16.5">
      <c r="A958" s="1"/>
      <c r="L958" s="1"/>
      <c r="M958" s="54"/>
      <c r="O958" s="1"/>
      <c r="P958" s="1"/>
      <c r="U958" s="1"/>
      <c r="X958" s="7"/>
      <c r="Y958" s="7"/>
      <c r="Z958" s="7"/>
      <c r="AA958" s="7"/>
    </row>
    <row r="959" spans="1:27" ht="16.5">
      <c r="A959" s="1"/>
      <c r="L959" s="1"/>
      <c r="M959" s="54"/>
      <c r="O959" s="1"/>
      <c r="P959" s="1"/>
      <c r="U959" s="1"/>
      <c r="X959" s="7"/>
      <c r="Y959" s="7"/>
      <c r="Z959" s="7"/>
      <c r="AA959" s="7"/>
    </row>
    <row r="960" spans="1:27" ht="16.5">
      <c r="A960" s="1"/>
      <c r="L960" s="1"/>
      <c r="M960" s="54"/>
      <c r="O960" s="1"/>
      <c r="P960" s="1"/>
      <c r="U960" s="1"/>
      <c r="X960" s="7"/>
      <c r="Y960" s="7"/>
      <c r="Z960" s="7"/>
      <c r="AA960" s="7"/>
    </row>
    <row r="961" spans="1:27" ht="16.5">
      <c r="A961" s="1"/>
      <c r="L961" s="1"/>
      <c r="M961" s="54"/>
      <c r="O961" s="1"/>
      <c r="P961" s="1"/>
      <c r="U961" s="1"/>
      <c r="X961" s="7"/>
      <c r="Y961" s="7"/>
      <c r="Z961" s="7"/>
      <c r="AA961" s="7"/>
    </row>
    <row r="962" spans="1:27" ht="16.5">
      <c r="A962" s="1"/>
      <c r="L962" s="1"/>
      <c r="M962" s="54"/>
      <c r="O962" s="1"/>
      <c r="P962" s="1"/>
      <c r="U962" s="1"/>
      <c r="X962" s="7"/>
      <c r="Y962" s="7"/>
      <c r="Z962" s="7"/>
      <c r="AA962" s="7"/>
    </row>
    <row r="963" spans="1:27" ht="16.5">
      <c r="A963" s="1"/>
      <c r="L963" s="1"/>
      <c r="M963" s="54"/>
      <c r="O963" s="1"/>
      <c r="P963" s="1"/>
      <c r="U963" s="1"/>
      <c r="X963" s="7"/>
      <c r="Y963" s="7"/>
      <c r="Z963" s="7"/>
      <c r="AA963" s="7"/>
    </row>
    <row r="964" spans="1:27" ht="16.5">
      <c r="A964" s="1"/>
      <c r="L964" s="1"/>
      <c r="M964" s="54"/>
      <c r="O964" s="1"/>
      <c r="P964" s="1"/>
      <c r="U964" s="1"/>
      <c r="X964" s="7"/>
      <c r="Y964" s="7"/>
      <c r="Z964" s="7"/>
      <c r="AA964" s="7"/>
    </row>
    <row r="965" spans="1:27" ht="16.5">
      <c r="A965" s="1"/>
      <c r="L965" s="1"/>
      <c r="M965" s="54"/>
      <c r="O965" s="1"/>
      <c r="P965" s="1"/>
      <c r="U965" s="1"/>
      <c r="X965" s="7"/>
      <c r="Y965" s="7"/>
      <c r="Z965" s="7"/>
      <c r="AA965" s="7"/>
    </row>
    <row r="966" spans="1:27" ht="16.5">
      <c r="A966" s="1"/>
      <c r="L966" s="1"/>
      <c r="M966" s="54"/>
      <c r="O966" s="1"/>
      <c r="P966" s="1"/>
      <c r="U966" s="1"/>
      <c r="X966" s="7"/>
      <c r="Y966" s="7"/>
      <c r="Z966" s="7"/>
      <c r="AA966" s="7"/>
    </row>
    <row r="967" spans="1:27" ht="16.5">
      <c r="A967" s="1"/>
      <c r="L967" s="1"/>
      <c r="M967" s="54"/>
      <c r="O967" s="1"/>
      <c r="P967" s="1"/>
      <c r="U967" s="1"/>
      <c r="X967" s="7"/>
      <c r="Y967" s="7"/>
      <c r="Z967" s="7"/>
      <c r="AA967" s="7"/>
    </row>
    <row r="968" spans="1:27" ht="16.5">
      <c r="A968" s="1"/>
      <c r="L968" s="1"/>
      <c r="M968" s="54"/>
      <c r="O968" s="1"/>
      <c r="P968" s="1"/>
      <c r="U968" s="1"/>
      <c r="X968" s="7"/>
      <c r="Y968" s="7"/>
      <c r="Z968" s="7"/>
      <c r="AA968" s="7"/>
    </row>
    <row r="969" spans="1:27" ht="16.5">
      <c r="A969" s="1"/>
      <c r="L969" s="1"/>
      <c r="M969" s="54"/>
      <c r="O969" s="1"/>
      <c r="P969" s="1"/>
      <c r="U969" s="1"/>
      <c r="X969" s="7"/>
      <c r="Y969" s="7"/>
      <c r="Z969" s="7"/>
      <c r="AA969" s="7"/>
    </row>
    <row r="970" spans="1:27" ht="16.5">
      <c r="A970" s="1"/>
      <c r="L970" s="1"/>
      <c r="M970" s="54"/>
      <c r="O970" s="1"/>
      <c r="P970" s="1"/>
      <c r="U970" s="1"/>
      <c r="X970" s="7"/>
      <c r="Y970" s="7"/>
      <c r="Z970" s="7"/>
      <c r="AA970" s="7"/>
    </row>
    <row r="971" spans="1:27" ht="16.5">
      <c r="A971" s="1"/>
      <c r="L971" s="1"/>
      <c r="M971" s="54"/>
      <c r="O971" s="1"/>
      <c r="P971" s="1"/>
      <c r="U971" s="1"/>
      <c r="X971" s="7"/>
      <c r="Y971" s="7"/>
      <c r="Z971" s="7"/>
      <c r="AA971" s="7"/>
    </row>
    <row r="972" spans="1:27" ht="16.5">
      <c r="A972" s="1"/>
      <c r="L972" s="1"/>
      <c r="M972" s="54"/>
      <c r="O972" s="1"/>
      <c r="P972" s="1"/>
      <c r="U972" s="1"/>
      <c r="X972" s="7"/>
      <c r="Y972" s="7"/>
      <c r="Z972" s="7"/>
      <c r="AA972" s="7"/>
    </row>
    <row r="973" spans="1:27" ht="16.5">
      <c r="A973" s="1"/>
      <c r="L973" s="1"/>
      <c r="M973" s="54"/>
      <c r="O973" s="1"/>
      <c r="P973" s="1"/>
      <c r="U973" s="1"/>
      <c r="X973" s="7"/>
      <c r="Y973" s="7"/>
      <c r="Z973" s="7"/>
      <c r="AA973" s="7"/>
    </row>
    <row r="974" spans="1:27" ht="16.5">
      <c r="A974" s="1"/>
      <c r="L974" s="1"/>
      <c r="M974" s="54"/>
      <c r="O974" s="1"/>
      <c r="P974" s="1"/>
      <c r="U974" s="1"/>
      <c r="X974" s="7"/>
      <c r="Y974" s="7"/>
      <c r="Z974" s="7"/>
      <c r="AA974" s="7"/>
    </row>
    <row r="975" spans="1:27" ht="16.5">
      <c r="A975" s="1"/>
      <c r="L975" s="1"/>
      <c r="M975" s="54"/>
      <c r="O975" s="1"/>
      <c r="P975" s="1"/>
      <c r="U975" s="1"/>
      <c r="X975" s="7"/>
      <c r="Y975" s="7"/>
      <c r="Z975" s="7"/>
      <c r="AA975" s="7"/>
    </row>
    <row r="976" spans="1:27" ht="16.5">
      <c r="A976" s="1"/>
      <c r="L976" s="1"/>
      <c r="M976" s="54"/>
      <c r="O976" s="1"/>
      <c r="P976" s="1"/>
      <c r="U976" s="1"/>
      <c r="X976" s="7"/>
      <c r="Y976" s="7"/>
      <c r="Z976" s="7"/>
      <c r="AA976" s="7"/>
    </row>
    <row r="977" spans="1:27" ht="16.5">
      <c r="A977" s="1"/>
      <c r="L977" s="1"/>
      <c r="M977" s="54"/>
      <c r="O977" s="1"/>
      <c r="P977" s="1"/>
      <c r="U977" s="1"/>
      <c r="X977" s="7"/>
      <c r="Y977" s="7"/>
      <c r="Z977" s="7"/>
      <c r="AA977" s="7"/>
    </row>
    <row r="978" spans="1:27" ht="16.5">
      <c r="A978" s="1"/>
      <c r="L978" s="1"/>
      <c r="M978" s="54"/>
      <c r="O978" s="1"/>
      <c r="P978" s="1"/>
      <c r="U978" s="1"/>
      <c r="X978" s="7"/>
      <c r="Y978" s="7"/>
      <c r="Z978" s="7"/>
      <c r="AA978" s="7"/>
    </row>
    <row r="979" spans="1:27" ht="16.5">
      <c r="A979" s="1"/>
      <c r="L979" s="1"/>
      <c r="M979" s="54"/>
      <c r="O979" s="1"/>
      <c r="P979" s="1"/>
      <c r="U979" s="1"/>
      <c r="X979" s="7"/>
      <c r="Y979" s="7"/>
      <c r="Z979" s="7"/>
      <c r="AA979" s="7"/>
    </row>
    <row r="980" spans="1:27" ht="16.5">
      <c r="A980" s="1"/>
      <c r="L980" s="1"/>
      <c r="M980" s="54"/>
      <c r="O980" s="1"/>
      <c r="P980" s="1"/>
      <c r="U980" s="1"/>
      <c r="X980" s="7"/>
      <c r="Y980" s="7"/>
      <c r="Z980" s="7"/>
      <c r="AA980" s="7"/>
    </row>
    <row r="981" spans="1:27" ht="16.5">
      <c r="A981" s="1"/>
      <c r="L981" s="1"/>
      <c r="M981" s="54"/>
      <c r="O981" s="1"/>
      <c r="P981" s="1"/>
      <c r="U981" s="1"/>
      <c r="X981" s="7"/>
      <c r="Y981" s="7"/>
      <c r="Z981" s="7"/>
      <c r="AA981" s="7"/>
    </row>
    <row r="982" spans="1:27" ht="16.5">
      <c r="A982" s="1"/>
      <c r="L982" s="1"/>
      <c r="M982" s="54"/>
      <c r="O982" s="1"/>
      <c r="P982" s="1"/>
      <c r="U982" s="1"/>
      <c r="X982" s="7"/>
      <c r="Y982" s="7"/>
      <c r="Z982" s="7"/>
      <c r="AA982" s="7"/>
    </row>
    <row r="983" spans="1:27" ht="16.5">
      <c r="A983" s="1"/>
      <c r="L983" s="1"/>
      <c r="M983" s="54"/>
      <c r="O983" s="1"/>
      <c r="P983" s="1"/>
      <c r="U983" s="1"/>
      <c r="X983" s="7"/>
      <c r="Y983" s="7"/>
      <c r="Z983" s="7"/>
      <c r="AA983" s="7"/>
    </row>
    <row r="984" spans="1:27" ht="16.5">
      <c r="A984" s="1"/>
      <c r="L984" s="1"/>
      <c r="M984" s="54"/>
      <c r="O984" s="1"/>
      <c r="P984" s="1"/>
      <c r="U984" s="1"/>
      <c r="X984" s="7"/>
      <c r="Y984" s="7"/>
      <c r="Z984" s="7"/>
      <c r="AA984" s="7"/>
    </row>
    <row r="985" spans="1:27" ht="16.5">
      <c r="A985" s="1"/>
      <c r="L985" s="1"/>
      <c r="M985" s="54"/>
      <c r="O985" s="1"/>
      <c r="P985" s="1"/>
      <c r="U985" s="1"/>
      <c r="X985" s="7"/>
      <c r="Y985" s="7"/>
      <c r="Z985" s="7"/>
      <c r="AA985" s="7"/>
    </row>
    <row r="986" spans="1:27" ht="16.5">
      <c r="A986" s="1"/>
      <c r="L986" s="1"/>
      <c r="M986" s="54"/>
      <c r="O986" s="1"/>
      <c r="P986" s="1"/>
      <c r="U986" s="1"/>
      <c r="X986" s="7"/>
      <c r="Y986" s="7"/>
      <c r="Z986" s="7"/>
      <c r="AA986" s="7"/>
    </row>
    <row r="987" spans="1:27" ht="16.5">
      <c r="A987" s="1"/>
      <c r="L987" s="1"/>
      <c r="M987" s="54"/>
      <c r="O987" s="1"/>
      <c r="P987" s="1"/>
      <c r="U987" s="1"/>
      <c r="X987" s="7"/>
      <c r="Y987" s="7"/>
      <c r="Z987" s="7"/>
      <c r="AA987" s="7"/>
    </row>
    <row r="988" spans="1:27" ht="16.5">
      <c r="A988" s="1"/>
      <c r="L988" s="1"/>
      <c r="M988" s="54"/>
      <c r="O988" s="1"/>
      <c r="P988" s="1"/>
      <c r="U988" s="1"/>
      <c r="X988" s="7"/>
      <c r="Y988" s="7"/>
      <c r="Z988" s="7"/>
      <c r="AA988" s="7"/>
    </row>
    <row r="989" spans="1:27" ht="16.5">
      <c r="A989" s="1"/>
      <c r="L989" s="1"/>
      <c r="M989" s="54"/>
      <c r="O989" s="1"/>
      <c r="P989" s="1"/>
      <c r="U989" s="1"/>
      <c r="X989" s="7"/>
      <c r="Y989" s="7"/>
      <c r="Z989" s="7"/>
      <c r="AA989" s="7"/>
    </row>
    <row r="990" spans="1:27" ht="16.5">
      <c r="A990" s="1"/>
      <c r="L990" s="1"/>
      <c r="M990" s="54"/>
      <c r="O990" s="1"/>
      <c r="P990" s="1"/>
      <c r="U990" s="1"/>
      <c r="X990" s="7"/>
      <c r="Y990" s="7"/>
      <c r="Z990" s="7"/>
      <c r="AA990" s="7"/>
    </row>
    <row r="991" spans="1:27" ht="16.5">
      <c r="A991" s="1"/>
      <c r="L991" s="1"/>
      <c r="M991" s="54"/>
      <c r="O991" s="1"/>
      <c r="P991" s="1"/>
      <c r="U991" s="1"/>
      <c r="X991" s="7"/>
      <c r="Y991" s="7"/>
      <c r="Z991" s="7"/>
      <c r="AA991" s="7"/>
    </row>
    <row r="992" spans="1:27" ht="16.5">
      <c r="A992" s="1"/>
      <c r="L992" s="1"/>
      <c r="M992" s="54"/>
      <c r="O992" s="1"/>
      <c r="P992" s="1"/>
      <c r="U992" s="1"/>
      <c r="X992" s="7"/>
      <c r="Y992" s="7"/>
      <c r="Z992" s="7"/>
      <c r="AA992" s="7"/>
    </row>
    <row r="993" spans="1:27" ht="16.5">
      <c r="A993" s="1"/>
      <c r="L993" s="1"/>
      <c r="M993" s="54"/>
      <c r="O993" s="1"/>
      <c r="P993" s="1"/>
      <c r="U993" s="1"/>
      <c r="X993" s="7"/>
      <c r="Y993" s="7"/>
      <c r="Z993" s="7"/>
      <c r="AA993" s="7"/>
    </row>
    <row r="994" spans="1:27" ht="16.5">
      <c r="A994" s="1"/>
      <c r="L994" s="1"/>
      <c r="M994" s="54"/>
      <c r="O994" s="1"/>
      <c r="P994" s="1"/>
      <c r="U994" s="1"/>
      <c r="X994" s="7"/>
      <c r="Y994" s="7"/>
      <c r="Z994" s="7"/>
      <c r="AA994" s="7"/>
    </row>
    <row r="995" spans="1:27" ht="16.5">
      <c r="A995" s="1"/>
      <c r="L995" s="1"/>
      <c r="M995" s="54"/>
      <c r="O995" s="1"/>
      <c r="P995" s="1"/>
      <c r="U995" s="1"/>
      <c r="X995" s="7"/>
      <c r="Y995" s="7"/>
      <c r="Z995" s="7"/>
      <c r="AA995" s="7"/>
    </row>
    <row r="996" spans="1:27" ht="16.5">
      <c r="A996" s="1"/>
      <c r="L996" s="1"/>
      <c r="M996" s="54"/>
      <c r="O996" s="1"/>
      <c r="P996" s="1"/>
      <c r="U996" s="1"/>
      <c r="X996" s="7"/>
      <c r="Y996" s="7"/>
      <c r="Z996" s="7"/>
      <c r="AA996" s="7"/>
    </row>
    <row r="997" spans="1:27" ht="16.5">
      <c r="A997" s="1"/>
      <c r="L997" s="1"/>
      <c r="M997" s="54"/>
      <c r="O997" s="1"/>
      <c r="P997" s="1"/>
      <c r="U997" s="1"/>
      <c r="X997" s="7"/>
      <c r="Y997" s="7"/>
      <c r="Z997" s="7"/>
      <c r="AA997" s="7"/>
    </row>
    <row r="998" spans="1:27" ht="16.5">
      <c r="A998" s="1"/>
      <c r="L998" s="1"/>
      <c r="M998" s="54"/>
      <c r="O998" s="1"/>
      <c r="P998" s="1"/>
      <c r="U998" s="1"/>
      <c r="X998" s="7"/>
      <c r="Y998" s="7"/>
      <c r="Z998" s="7"/>
      <c r="AA998" s="7"/>
    </row>
    <row r="999" spans="1:27" ht="16.5">
      <c r="A999" s="1"/>
      <c r="L999" s="1"/>
      <c r="M999" s="54"/>
      <c r="O999" s="1"/>
      <c r="P999" s="1"/>
      <c r="U999" s="1"/>
      <c r="X999" s="7"/>
      <c r="Y999" s="7"/>
      <c r="Z999" s="7"/>
      <c r="AA999" s="7"/>
    </row>
    <row r="1000" spans="1:27" ht="16.5">
      <c r="A1000" s="1"/>
      <c r="L1000" s="1"/>
      <c r="M1000" s="54"/>
      <c r="O1000" s="1"/>
      <c r="P1000" s="1"/>
      <c r="U1000" s="1"/>
      <c r="X1000" s="7"/>
      <c r="Y1000" s="7"/>
      <c r="Z1000" s="7"/>
      <c r="AA1000" s="7"/>
    </row>
    <row r="1001" spans="1:27" ht="16.5">
      <c r="A1001" s="1"/>
      <c r="L1001" s="1"/>
      <c r="M1001" s="54"/>
      <c r="O1001" s="1"/>
      <c r="P1001" s="1"/>
      <c r="U1001" s="1"/>
      <c r="X1001" s="7"/>
      <c r="Y1001" s="7"/>
      <c r="Z1001" s="7"/>
      <c r="AA1001" s="7"/>
    </row>
    <row r="1002" spans="1:27" ht="16.5">
      <c r="A1002" s="1"/>
      <c r="L1002" s="1"/>
      <c r="M1002" s="54"/>
      <c r="O1002" s="1"/>
      <c r="P1002" s="1"/>
      <c r="U1002" s="1"/>
      <c r="X1002" s="7"/>
      <c r="Y1002" s="7"/>
      <c r="Z1002" s="7"/>
      <c r="AA1002" s="7"/>
    </row>
    <row r="1003" spans="1:27" ht="16.5">
      <c r="A1003" s="1"/>
      <c r="L1003" s="1"/>
      <c r="M1003" s="54"/>
      <c r="O1003" s="1"/>
      <c r="P1003" s="1"/>
      <c r="U1003" s="1"/>
      <c r="X1003" s="7"/>
      <c r="Y1003" s="7"/>
      <c r="Z1003" s="7"/>
      <c r="AA1003" s="7"/>
    </row>
    <row r="1004" spans="1:27" ht="16.5">
      <c r="A1004" s="1"/>
      <c r="L1004" s="1"/>
      <c r="M1004" s="54"/>
      <c r="O1004" s="1"/>
      <c r="P1004" s="1"/>
      <c r="U1004" s="1"/>
      <c r="X1004" s="7"/>
      <c r="Y1004" s="7"/>
      <c r="Z1004" s="7"/>
      <c r="AA1004" s="7"/>
    </row>
    <row r="1005" spans="1:27" ht="16.5">
      <c r="A1005" s="1"/>
      <c r="L1005" s="1"/>
      <c r="M1005" s="54"/>
      <c r="O1005" s="1"/>
      <c r="P1005" s="1"/>
      <c r="U1005" s="1"/>
      <c r="X1005" s="7"/>
      <c r="Y1005" s="7"/>
      <c r="Z1005" s="7"/>
      <c r="AA1005" s="7"/>
    </row>
    <row r="1006" spans="1:27" ht="16.5">
      <c r="A1006" s="1"/>
      <c r="L1006" s="1"/>
      <c r="M1006" s="54"/>
      <c r="O1006" s="1"/>
      <c r="P1006" s="1"/>
      <c r="U1006" s="1"/>
      <c r="X1006" s="7"/>
      <c r="Y1006" s="7"/>
      <c r="Z1006" s="7"/>
      <c r="AA1006" s="7"/>
    </row>
    <row r="1007" spans="1:27" ht="16.5">
      <c r="A1007" s="1"/>
      <c r="L1007" s="1"/>
      <c r="M1007" s="54"/>
      <c r="O1007" s="1"/>
      <c r="P1007" s="1"/>
      <c r="U1007" s="1"/>
      <c r="X1007" s="7"/>
      <c r="Y1007" s="7"/>
      <c r="Z1007" s="7"/>
      <c r="AA1007" s="7"/>
    </row>
    <row r="1008" spans="1:27" ht="16.5">
      <c r="A1008" s="1"/>
      <c r="L1008" s="1"/>
      <c r="M1008" s="54"/>
      <c r="O1008" s="1"/>
      <c r="P1008" s="1"/>
      <c r="U1008" s="1"/>
      <c r="X1008" s="7"/>
      <c r="Y1008" s="7"/>
      <c r="Z1008" s="7"/>
      <c r="AA1008" s="7"/>
    </row>
    <row r="1009" spans="1:27" ht="16.5">
      <c r="A1009" s="1"/>
      <c r="L1009" s="1"/>
      <c r="M1009" s="54"/>
      <c r="O1009" s="1"/>
      <c r="P1009" s="1"/>
      <c r="U1009" s="1"/>
      <c r="X1009" s="7"/>
      <c r="Y1009" s="7"/>
      <c r="Z1009" s="7"/>
      <c r="AA1009" s="7"/>
    </row>
    <row r="1010" spans="1:27" ht="16.5">
      <c r="A1010" s="1"/>
      <c r="L1010" s="1"/>
      <c r="M1010" s="54"/>
      <c r="O1010" s="1"/>
      <c r="P1010" s="1"/>
      <c r="U1010" s="1"/>
      <c r="X1010" s="7"/>
      <c r="Y1010" s="7"/>
      <c r="Z1010" s="7"/>
      <c r="AA1010" s="7"/>
    </row>
    <row r="1011" spans="1:27" ht="16.5">
      <c r="A1011" s="1"/>
      <c r="L1011" s="1"/>
      <c r="M1011" s="54"/>
      <c r="O1011" s="1"/>
      <c r="P1011" s="1"/>
      <c r="U1011" s="1"/>
      <c r="X1011" s="7"/>
      <c r="Y1011" s="7"/>
      <c r="Z1011" s="7"/>
      <c r="AA1011" s="7"/>
    </row>
    <row r="1012" spans="1:27" ht="16.5">
      <c r="A1012" s="1"/>
      <c r="L1012" s="1"/>
      <c r="M1012" s="54"/>
      <c r="O1012" s="1"/>
      <c r="P1012" s="1"/>
      <c r="U1012" s="1"/>
      <c r="X1012" s="7"/>
      <c r="Y1012" s="7"/>
      <c r="Z1012" s="7"/>
      <c r="AA1012" s="7"/>
    </row>
    <row r="1013" spans="1:27" ht="16.5">
      <c r="A1013" s="1"/>
      <c r="L1013" s="1"/>
      <c r="M1013" s="54"/>
      <c r="O1013" s="1"/>
      <c r="P1013" s="1"/>
      <c r="U1013" s="1"/>
      <c r="X1013" s="7"/>
      <c r="Y1013" s="7"/>
      <c r="Z1013" s="7"/>
      <c r="AA1013" s="7"/>
    </row>
    <row r="1014" spans="1:27" ht="16.5">
      <c r="A1014" s="1"/>
      <c r="L1014" s="1"/>
      <c r="M1014" s="54"/>
      <c r="O1014" s="1"/>
      <c r="P1014" s="1"/>
      <c r="U1014" s="1"/>
      <c r="X1014" s="7"/>
      <c r="Y1014" s="7"/>
      <c r="Z1014" s="7"/>
      <c r="AA1014" s="7"/>
    </row>
    <row r="1015" spans="1:27" ht="16.5">
      <c r="A1015" s="1"/>
      <c r="L1015" s="1"/>
      <c r="M1015" s="54"/>
      <c r="O1015" s="1"/>
      <c r="P1015" s="1"/>
      <c r="U1015" s="1"/>
      <c r="X1015" s="7"/>
      <c r="Y1015" s="7"/>
      <c r="Z1015" s="7"/>
      <c r="AA1015" s="7"/>
    </row>
    <row r="1016" spans="1:27" ht="16.5">
      <c r="A1016" s="1"/>
      <c r="L1016" s="1"/>
      <c r="M1016" s="54"/>
      <c r="O1016" s="1"/>
      <c r="P1016" s="1"/>
      <c r="U1016" s="1"/>
      <c r="X1016" s="7"/>
      <c r="Y1016" s="7"/>
      <c r="Z1016" s="7"/>
      <c r="AA1016" s="7"/>
    </row>
    <row r="1017" spans="1:27" ht="16.5">
      <c r="A1017" s="1"/>
      <c r="L1017" s="1"/>
      <c r="M1017" s="54"/>
      <c r="O1017" s="1"/>
      <c r="P1017" s="1"/>
      <c r="U1017" s="1"/>
      <c r="X1017" s="7"/>
      <c r="Y1017" s="7"/>
      <c r="Z1017" s="7"/>
      <c r="AA1017" s="7"/>
    </row>
    <row r="1018" spans="1:27" ht="16.5">
      <c r="A1018" s="1"/>
      <c r="L1018" s="1"/>
      <c r="M1018" s="54"/>
      <c r="O1018" s="1"/>
      <c r="P1018" s="1"/>
      <c r="U1018" s="1"/>
      <c r="X1018" s="7"/>
      <c r="Y1018" s="7"/>
      <c r="Z1018" s="7"/>
      <c r="AA1018" s="7"/>
    </row>
    <row r="1019" spans="1:27" ht="16.5">
      <c r="A1019" s="1"/>
      <c r="L1019" s="1"/>
      <c r="M1019" s="54"/>
      <c r="O1019" s="1"/>
      <c r="P1019" s="1"/>
      <c r="U1019" s="1"/>
      <c r="X1019" s="7"/>
      <c r="Y1019" s="7"/>
      <c r="Z1019" s="7"/>
      <c r="AA1019" s="7"/>
    </row>
    <row r="1020" spans="1:27" ht="16.5">
      <c r="A1020" s="1"/>
      <c r="L1020" s="1"/>
      <c r="M1020" s="54"/>
      <c r="O1020" s="1"/>
      <c r="P1020" s="1"/>
      <c r="U1020" s="1"/>
      <c r="X1020" s="7"/>
      <c r="Y1020" s="7"/>
      <c r="Z1020" s="7"/>
      <c r="AA1020" s="7"/>
    </row>
    <row r="1021" spans="1:27" ht="16.5">
      <c r="A1021" s="1"/>
      <c r="L1021" s="1"/>
      <c r="M1021" s="54"/>
      <c r="O1021" s="1"/>
      <c r="P1021" s="1"/>
      <c r="U1021" s="1"/>
      <c r="X1021" s="7"/>
      <c r="Y1021" s="7"/>
      <c r="Z1021" s="7"/>
      <c r="AA1021" s="7"/>
    </row>
    <row r="1022" spans="1:27" ht="16.5">
      <c r="A1022" s="1"/>
      <c r="L1022" s="1"/>
      <c r="M1022" s="54"/>
      <c r="O1022" s="1"/>
      <c r="P1022" s="1"/>
      <c r="U1022" s="1"/>
      <c r="X1022" s="7"/>
      <c r="Y1022" s="7"/>
      <c r="Z1022" s="7"/>
      <c r="AA1022" s="7"/>
    </row>
    <row r="1023" spans="1:27" ht="16.5">
      <c r="A1023" s="1"/>
      <c r="L1023" s="1"/>
      <c r="M1023" s="54"/>
      <c r="O1023" s="1"/>
      <c r="P1023" s="1"/>
      <c r="U1023" s="1"/>
      <c r="X1023" s="7"/>
      <c r="Y1023" s="7"/>
      <c r="Z1023" s="7"/>
      <c r="AA1023" s="7"/>
    </row>
    <row r="1024" spans="1:27" ht="16.5">
      <c r="A1024" s="1"/>
      <c r="L1024" s="1"/>
      <c r="M1024" s="54"/>
      <c r="O1024" s="1"/>
      <c r="P1024" s="1"/>
      <c r="U1024" s="1"/>
      <c r="X1024" s="7"/>
      <c r="Y1024" s="7"/>
      <c r="Z1024" s="7"/>
      <c r="AA1024" s="7"/>
    </row>
    <row r="1025" spans="1:27" ht="16.5">
      <c r="A1025" s="1"/>
      <c r="L1025" s="1"/>
      <c r="M1025" s="54"/>
      <c r="O1025" s="1"/>
      <c r="P1025" s="1"/>
      <c r="U1025" s="1"/>
      <c r="X1025" s="7"/>
      <c r="Y1025" s="7"/>
      <c r="Z1025" s="7"/>
      <c r="AA1025" s="7"/>
    </row>
    <row r="1026" spans="1:27" ht="16.5">
      <c r="A1026" s="1"/>
      <c r="L1026" s="1"/>
      <c r="M1026" s="54"/>
      <c r="O1026" s="1"/>
      <c r="P1026" s="1"/>
      <c r="U1026" s="1"/>
      <c r="X1026" s="7"/>
      <c r="Y1026" s="7"/>
      <c r="Z1026" s="7"/>
      <c r="AA1026" s="7"/>
    </row>
    <row r="1027" spans="1:27" ht="16.5">
      <c r="A1027" s="1"/>
      <c r="L1027" s="1"/>
      <c r="M1027" s="54"/>
      <c r="O1027" s="1"/>
      <c r="P1027" s="1"/>
      <c r="U1027" s="1"/>
      <c r="X1027" s="7"/>
      <c r="Y1027" s="7"/>
      <c r="Z1027" s="7"/>
      <c r="AA1027" s="7"/>
    </row>
    <row r="1028" spans="1:27" ht="16.5">
      <c r="A1028" s="1"/>
      <c r="L1028" s="1"/>
      <c r="M1028" s="54"/>
      <c r="O1028" s="1"/>
      <c r="P1028" s="1"/>
      <c r="U1028" s="1"/>
      <c r="X1028" s="7"/>
      <c r="Y1028" s="7"/>
      <c r="Z1028" s="7"/>
      <c r="AA1028" s="7"/>
    </row>
    <row r="1029" spans="1:27" ht="16.5">
      <c r="A1029" s="1"/>
      <c r="L1029" s="1"/>
      <c r="M1029" s="54"/>
      <c r="O1029" s="1"/>
      <c r="P1029" s="1"/>
      <c r="U1029" s="1"/>
      <c r="X1029" s="7"/>
      <c r="Y1029" s="7"/>
      <c r="Z1029" s="7"/>
      <c r="AA1029" s="7"/>
    </row>
    <row r="1030" spans="1:27" ht="16.5">
      <c r="A1030" s="1"/>
      <c r="L1030" s="1"/>
      <c r="M1030" s="54"/>
      <c r="O1030" s="1"/>
      <c r="P1030" s="1"/>
      <c r="U1030" s="1"/>
      <c r="X1030" s="7"/>
      <c r="Y1030" s="7"/>
      <c r="Z1030" s="7"/>
      <c r="AA1030" s="7"/>
    </row>
    <row r="1031" spans="1:27" ht="16.5">
      <c r="A1031" s="1"/>
      <c r="L1031" s="1"/>
      <c r="M1031" s="54"/>
      <c r="O1031" s="1"/>
      <c r="P1031" s="1"/>
      <c r="U1031" s="1"/>
      <c r="X1031" s="7"/>
      <c r="Y1031" s="7"/>
      <c r="Z1031" s="7"/>
      <c r="AA1031" s="7"/>
    </row>
    <row r="1032" spans="1:27" ht="16.5">
      <c r="A1032" s="1"/>
      <c r="L1032" s="1"/>
      <c r="M1032" s="54"/>
      <c r="O1032" s="1"/>
      <c r="P1032" s="1"/>
      <c r="U1032" s="1"/>
      <c r="X1032" s="7"/>
      <c r="Y1032" s="7"/>
      <c r="Z1032" s="7"/>
      <c r="AA1032" s="7"/>
    </row>
    <row r="1033" spans="1:27" ht="16.5">
      <c r="A1033" s="1"/>
      <c r="L1033" s="1"/>
      <c r="M1033" s="54"/>
      <c r="O1033" s="1"/>
      <c r="P1033" s="1"/>
      <c r="U1033" s="1"/>
      <c r="X1033" s="7"/>
      <c r="Y1033" s="7"/>
      <c r="Z1033" s="7"/>
      <c r="AA1033" s="7"/>
    </row>
    <row r="1034" spans="1:27" ht="16.5">
      <c r="A1034" s="1"/>
      <c r="L1034" s="1"/>
      <c r="M1034" s="54"/>
      <c r="O1034" s="1"/>
      <c r="P1034" s="1"/>
      <c r="U1034" s="1"/>
      <c r="X1034" s="7"/>
      <c r="Y1034" s="7"/>
      <c r="Z1034" s="7"/>
      <c r="AA1034" s="7"/>
    </row>
    <row r="1035" spans="1:27" ht="16.5">
      <c r="A1035" s="1"/>
      <c r="L1035" s="1"/>
      <c r="M1035" s="54"/>
      <c r="O1035" s="1"/>
      <c r="P1035" s="1"/>
      <c r="U1035" s="1"/>
      <c r="X1035" s="7"/>
      <c r="Y1035" s="7"/>
      <c r="Z1035" s="7"/>
      <c r="AA1035" s="7"/>
    </row>
    <row r="1036" spans="1:27" ht="16.5">
      <c r="A1036" s="1"/>
      <c r="L1036" s="1"/>
      <c r="M1036" s="54"/>
      <c r="O1036" s="1"/>
      <c r="P1036" s="1"/>
      <c r="U1036" s="1"/>
      <c r="X1036" s="7"/>
      <c r="Y1036" s="7"/>
      <c r="Z1036" s="7"/>
      <c r="AA1036" s="7"/>
    </row>
    <row r="1037" spans="1:27" ht="16.5">
      <c r="A1037" s="1"/>
      <c r="L1037" s="1"/>
      <c r="M1037" s="54"/>
      <c r="O1037" s="1"/>
      <c r="P1037" s="1"/>
      <c r="U1037" s="1"/>
      <c r="X1037" s="7"/>
      <c r="Y1037" s="7"/>
      <c r="Z1037" s="7"/>
      <c r="AA1037" s="7"/>
    </row>
    <row r="1038" spans="1:27" ht="16.5">
      <c r="A1038" s="1"/>
      <c r="L1038" s="1"/>
      <c r="M1038" s="54"/>
      <c r="O1038" s="1"/>
      <c r="P1038" s="1"/>
      <c r="U1038" s="1"/>
      <c r="X1038" s="7"/>
      <c r="Y1038" s="7"/>
      <c r="Z1038" s="7"/>
      <c r="AA1038" s="7"/>
    </row>
    <row r="1039" spans="1:27" ht="16.5">
      <c r="A1039" s="1"/>
      <c r="L1039" s="1"/>
      <c r="M1039" s="54"/>
      <c r="O1039" s="1"/>
      <c r="P1039" s="1"/>
      <c r="U1039" s="1"/>
      <c r="X1039" s="7"/>
      <c r="Y1039" s="7"/>
      <c r="Z1039" s="7"/>
      <c r="AA1039" s="7"/>
    </row>
    <row r="1040" spans="1:27" ht="16.5">
      <c r="A1040" s="1"/>
      <c r="L1040" s="1"/>
      <c r="M1040" s="54"/>
      <c r="O1040" s="1"/>
      <c r="P1040" s="1"/>
      <c r="U1040" s="1"/>
      <c r="X1040" s="7"/>
      <c r="Y1040" s="7"/>
      <c r="Z1040" s="7"/>
      <c r="AA1040" s="7"/>
    </row>
    <row r="1041" spans="1:27" ht="16.5">
      <c r="A1041" s="1"/>
      <c r="L1041" s="1"/>
      <c r="M1041" s="54"/>
      <c r="O1041" s="1"/>
      <c r="P1041" s="1"/>
      <c r="U1041" s="1"/>
      <c r="X1041" s="7"/>
      <c r="Y1041" s="7"/>
      <c r="Z1041" s="7"/>
      <c r="AA1041" s="7"/>
    </row>
    <row r="1042" spans="1:27" ht="16.5">
      <c r="A1042" s="1"/>
      <c r="L1042" s="1"/>
      <c r="M1042" s="54"/>
      <c r="O1042" s="1"/>
      <c r="P1042" s="1"/>
      <c r="U1042" s="1"/>
      <c r="X1042" s="7"/>
      <c r="Y1042" s="7"/>
      <c r="Z1042" s="7"/>
      <c r="AA1042" s="7"/>
    </row>
    <row r="1043" spans="1:27" ht="16.5">
      <c r="A1043" s="1"/>
      <c r="L1043" s="1"/>
      <c r="M1043" s="54"/>
      <c r="O1043" s="1"/>
      <c r="P1043" s="1"/>
      <c r="U1043" s="1"/>
      <c r="X1043" s="7"/>
      <c r="Y1043" s="7"/>
      <c r="Z1043" s="7"/>
      <c r="AA1043" s="7"/>
    </row>
    <row r="1044" spans="1:27" ht="16.5">
      <c r="A1044" s="1"/>
      <c r="L1044" s="1"/>
      <c r="M1044" s="54"/>
      <c r="O1044" s="1"/>
      <c r="P1044" s="1"/>
      <c r="U1044" s="1"/>
      <c r="X1044" s="7"/>
      <c r="Y1044" s="7"/>
      <c r="Z1044" s="7"/>
      <c r="AA1044" s="7"/>
    </row>
    <row r="1045" spans="1:27" ht="16.5">
      <c r="A1045" s="1"/>
      <c r="L1045" s="1"/>
      <c r="M1045" s="54"/>
      <c r="O1045" s="1"/>
      <c r="P1045" s="1"/>
      <c r="U1045" s="1"/>
      <c r="X1045" s="7"/>
      <c r="Y1045" s="7"/>
      <c r="Z1045" s="7"/>
      <c r="AA1045" s="7"/>
    </row>
    <row r="1046" spans="1:27" ht="16.5">
      <c r="A1046" s="1"/>
      <c r="L1046" s="1"/>
      <c r="M1046" s="54"/>
      <c r="O1046" s="1"/>
      <c r="P1046" s="1"/>
      <c r="U1046" s="1"/>
      <c r="X1046" s="7"/>
      <c r="Y1046" s="7"/>
      <c r="Z1046" s="7"/>
      <c r="AA1046" s="7"/>
    </row>
    <row r="1047" spans="1:27" ht="16.5">
      <c r="A1047" s="1"/>
      <c r="L1047" s="1"/>
      <c r="M1047" s="54"/>
      <c r="O1047" s="1"/>
      <c r="P1047" s="1"/>
      <c r="U1047" s="1"/>
      <c r="X1047" s="7"/>
      <c r="Y1047" s="7"/>
      <c r="Z1047" s="7"/>
      <c r="AA1047" s="7"/>
    </row>
    <row r="1048" spans="1:27" ht="16.5">
      <c r="A1048" s="1"/>
      <c r="L1048" s="1"/>
      <c r="M1048" s="54"/>
      <c r="O1048" s="1"/>
      <c r="P1048" s="1"/>
      <c r="U1048" s="1"/>
      <c r="X1048" s="7"/>
      <c r="Y1048" s="7"/>
      <c r="Z1048" s="7"/>
      <c r="AA1048" s="7"/>
    </row>
    <row r="1049" spans="1:27" ht="16.5">
      <c r="A1049" s="1"/>
      <c r="L1049" s="1"/>
      <c r="M1049" s="54"/>
      <c r="O1049" s="1"/>
      <c r="P1049" s="1"/>
      <c r="U1049" s="1"/>
      <c r="X1049" s="7"/>
      <c r="Y1049" s="7"/>
      <c r="Z1049" s="7"/>
      <c r="AA1049" s="7"/>
    </row>
    <row r="1050" spans="1:27" ht="16.5">
      <c r="A1050" s="1"/>
      <c r="L1050" s="1"/>
      <c r="M1050" s="54"/>
      <c r="O1050" s="1"/>
      <c r="P1050" s="1"/>
      <c r="U1050" s="1"/>
      <c r="X1050" s="7"/>
      <c r="Y1050" s="7"/>
      <c r="Z1050" s="7"/>
      <c r="AA1050" s="7"/>
    </row>
    <row r="1051" spans="1:27" ht="16.5">
      <c r="A1051" s="1"/>
      <c r="L1051" s="1"/>
      <c r="M1051" s="54"/>
      <c r="O1051" s="1"/>
      <c r="P1051" s="1"/>
      <c r="U1051" s="1"/>
      <c r="X1051" s="7"/>
      <c r="Y1051" s="7"/>
      <c r="Z1051" s="7"/>
      <c r="AA1051" s="7"/>
    </row>
    <row r="1052" spans="1:27" ht="16.5">
      <c r="A1052" s="1"/>
      <c r="L1052" s="1"/>
      <c r="M1052" s="54"/>
      <c r="O1052" s="1"/>
      <c r="P1052" s="1"/>
      <c r="U1052" s="1"/>
      <c r="X1052" s="7"/>
      <c r="Y1052" s="7"/>
      <c r="Z1052" s="7"/>
      <c r="AA1052" s="7"/>
    </row>
    <row r="1053" spans="1:27" ht="16.5">
      <c r="A1053" s="1"/>
      <c r="L1053" s="1"/>
      <c r="M1053" s="54"/>
      <c r="O1053" s="1"/>
      <c r="P1053" s="1"/>
      <c r="U1053" s="1"/>
      <c r="X1053" s="7"/>
      <c r="Y1053" s="7"/>
      <c r="Z1053" s="7"/>
      <c r="AA1053" s="7"/>
    </row>
    <row r="1054" spans="1:27" ht="16.5">
      <c r="A1054" s="1"/>
      <c r="L1054" s="1"/>
      <c r="M1054" s="54"/>
      <c r="O1054" s="1"/>
      <c r="P1054" s="1"/>
      <c r="U1054" s="1"/>
      <c r="X1054" s="7"/>
      <c r="Y1054" s="7"/>
      <c r="Z1054" s="7"/>
      <c r="AA1054" s="7"/>
    </row>
    <row r="1055" spans="1:27" ht="16.5">
      <c r="A1055" s="1"/>
      <c r="L1055" s="1"/>
      <c r="M1055" s="54"/>
      <c r="O1055" s="1"/>
      <c r="P1055" s="1"/>
      <c r="U1055" s="1"/>
      <c r="X1055" s="7"/>
      <c r="Y1055" s="7"/>
      <c r="Z1055" s="7"/>
      <c r="AA1055" s="7"/>
    </row>
    <row r="1056" spans="1:27" ht="16.5">
      <c r="A1056" s="1"/>
      <c r="L1056" s="1"/>
      <c r="M1056" s="54"/>
      <c r="O1056" s="1"/>
      <c r="P1056" s="1"/>
      <c r="U1056" s="1"/>
      <c r="X1056" s="7"/>
      <c r="Y1056" s="7"/>
      <c r="Z1056" s="7"/>
      <c r="AA1056" s="7"/>
    </row>
    <row r="1057" spans="1:27" ht="16.5">
      <c r="A1057" s="1"/>
      <c r="L1057" s="1"/>
      <c r="M1057" s="54"/>
      <c r="O1057" s="1"/>
      <c r="P1057" s="1"/>
      <c r="U1057" s="1"/>
      <c r="X1057" s="7"/>
      <c r="Y1057" s="7"/>
      <c r="Z1057" s="7"/>
      <c r="AA1057" s="7"/>
    </row>
    <row r="1058" spans="1:27" ht="16.5">
      <c r="A1058" s="1"/>
      <c r="L1058" s="1"/>
      <c r="M1058" s="54"/>
      <c r="O1058" s="1"/>
      <c r="P1058" s="1"/>
      <c r="U1058" s="1"/>
      <c r="X1058" s="7"/>
      <c r="Y1058" s="7"/>
      <c r="Z1058" s="7"/>
      <c r="AA1058" s="7"/>
    </row>
    <row r="1059" spans="1:27" ht="16.5">
      <c r="A1059" s="1"/>
      <c r="L1059" s="1"/>
      <c r="M1059" s="54"/>
      <c r="O1059" s="1"/>
      <c r="P1059" s="1"/>
      <c r="U1059" s="1"/>
      <c r="X1059" s="7"/>
      <c r="Y1059" s="7"/>
      <c r="Z1059" s="7"/>
      <c r="AA1059" s="7"/>
    </row>
    <row r="1060" spans="1:27" ht="16.5">
      <c r="A1060" s="1"/>
      <c r="L1060" s="1"/>
      <c r="M1060" s="54"/>
      <c r="O1060" s="1"/>
      <c r="P1060" s="1"/>
      <c r="U1060" s="1"/>
      <c r="X1060" s="7"/>
      <c r="Y1060" s="7"/>
      <c r="Z1060" s="7"/>
      <c r="AA1060" s="7"/>
    </row>
    <row r="1061" spans="1:27" ht="16.5">
      <c r="A1061" s="1"/>
      <c r="L1061" s="1"/>
      <c r="M1061" s="54"/>
      <c r="O1061" s="1"/>
      <c r="P1061" s="1"/>
      <c r="U1061" s="1"/>
      <c r="X1061" s="7"/>
      <c r="Y1061" s="7"/>
      <c r="Z1061" s="7"/>
      <c r="AA1061" s="7"/>
    </row>
    <row r="1062" spans="1:27" ht="16.5">
      <c r="A1062" s="1"/>
      <c r="L1062" s="1"/>
      <c r="M1062" s="54"/>
      <c r="O1062" s="1"/>
      <c r="P1062" s="1"/>
      <c r="U1062" s="1"/>
      <c r="X1062" s="7"/>
      <c r="Y1062" s="7"/>
      <c r="Z1062" s="7"/>
      <c r="AA1062" s="7"/>
    </row>
    <row r="1063" spans="1:27" ht="16.5">
      <c r="A1063" s="1"/>
      <c r="L1063" s="1"/>
      <c r="M1063" s="54"/>
      <c r="O1063" s="1"/>
      <c r="P1063" s="1"/>
      <c r="U1063" s="1"/>
      <c r="X1063" s="7"/>
      <c r="Y1063" s="7"/>
      <c r="Z1063" s="7"/>
      <c r="AA1063" s="7"/>
    </row>
    <row r="1064" spans="1:27" ht="16.5">
      <c r="A1064" s="1"/>
      <c r="L1064" s="1"/>
      <c r="M1064" s="54"/>
      <c r="O1064" s="1"/>
      <c r="P1064" s="1"/>
      <c r="U1064" s="1"/>
      <c r="X1064" s="7"/>
      <c r="Y1064" s="7"/>
      <c r="Z1064" s="7"/>
      <c r="AA1064" s="7"/>
    </row>
    <row r="1065" spans="1:27" ht="16.5">
      <c r="A1065" s="1"/>
      <c r="L1065" s="1"/>
      <c r="M1065" s="54"/>
      <c r="O1065" s="1"/>
      <c r="P1065" s="1"/>
      <c r="U1065" s="1"/>
      <c r="X1065" s="7"/>
      <c r="Y1065" s="7"/>
      <c r="Z1065" s="7"/>
      <c r="AA1065" s="7"/>
    </row>
    <row r="1066" spans="1:27" ht="16.5">
      <c r="A1066" s="1"/>
      <c r="L1066" s="1"/>
      <c r="M1066" s="54"/>
      <c r="O1066" s="1"/>
      <c r="P1066" s="1"/>
      <c r="U1066" s="1"/>
      <c r="X1066" s="7"/>
      <c r="Y1066" s="7"/>
      <c r="Z1066" s="7"/>
      <c r="AA1066" s="7"/>
    </row>
    <row r="1067" spans="1:27" ht="16.5">
      <c r="A1067" s="1"/>
      <c r="L1067" s="1"/>
      <c r="M1067" s="54"/>
      <c r="O1067" s="1"/>
      <c r="P1067" s="1"/>
      <c r="U1067" s="1"/>
      <c r="X1067" s="7"/>
      <c r="Y1067" s="7"/>
      <c r="Z1067" s="7"/>
      <c r="AA1067" s="7"/>
    </row>
    <row r="1068" spans="1:27" ht="16.5">
      <c r="A1068" s="1"/>
      <c r="L1068" s="1"/>
      <c r="M1068" s="54"/>
      <c r="O1068" s="1"/>
      <c r="P1068" s="1"/>
      <c r="U1068" s="1"/>
      <c r="X1068" s="7"/>
      <c r="Y1068" s="7"/>
      <c r="Z1068" s="7"/>
      <c r="AA1068" s="7"/>
    </row>
    <row r="1069" spans="1:27" ht="16.5">
      <c r="A1069" s="1"/>
      <c r="L1069" s="1"/>
      <c r="M1069" s="54"/>
      <c r="O1069" s="1"/>
      <c r="P1069" s="1"/>
      <c r="U1069" s="1"/>
      <c r="X1069" s="7"/>
      <c r="Y1069" s="7"/>
      <c r="Z1069" s="7"/>
      <c r="AA1069" s="7"/>
    </row>
    <row r="1070" spans="1:27" ht="16.5">
      <c r="A1070" s="1"/>
      <c r="L1070" s="1"/>
      <c r="M1070" s="54"/>
      <c r="O1070" s="1"/>
      <c r="P1070" s="1"/>
      <c r="U1070" s="1"/>
      <c r="X1070" s="7"/>
      <c r="Y1070" s="7"/>
      <c r="Z1070" s="7"/>
      <c r="AA1070" s="7"/>
    </row>
    <row r="1071" spans="1:27" ht="16.5">
      <c r="A1071" s="1"/>
      <c r="L1071" s="1"/>
      <c r="M1071" s="54"/>
      <c r="O1071" s="1"/>
      <c r="P1071" s="1"/>
      <c r="U1071" s="1"/>
      <c r="X1071" s="7"/>
      <c r="Y1071" s="7"/>
      <c r="Z1071" s="7"/>
      <c r="AA1071" s="7"/>
    </row>
    <row r="1072" spans="1:27" ht="16.5">
      <c r="A1072" s="1"/>
      <c r="L1072" s="1"/>
      <c r="M1072" s="54"/>
      <c r="O1072" s="1"/>
      <c r="P1072" s="1"/>
      <c r="U1072" s="1"/>
      <c r="X1072" s="7"/>
      <c r="Y1072" s="7"/>
      <c r="Z1072" s="7"/>
      <c r="AA1072" s="7"/>
    </row>
    <row r="1073" spans="1:27" ht="16.5">
      <c r="A1073" s="1"/>
      <c r="L1073" s="1"/>
      <c r="M1073" s="54"/>
      <c r="O1073" s="1"/>
      <c r="P1073" s="1"/>
      <c r="U1073" s="1"/>
      <c r="X1073" s="7"/>
      <c r="Y1073" s="7"/>
      <c r="Z1073" s="7"/>
      <c r="AA1073" s="7"/>
    </row>
    <row r="1074" spans="1:27" ht="16.5">
      <c r="A1074" s="1"/>
      <c r="L1074" s="1"/>
      <c r="M1074" s="54"/>
      <c r="O1074" s="1"/>
      <c r="P1074" s="1"/>
      <c r="U1074" s="1"/>
      <c r="X1074" s="7"/>
      <c r="Y1074" s="7"/>
      <c r="Z1074" s="7"/>
      <c r="AA1074" s="7"/>
    </row>
    <row r="1075" spans="1:27" ht="16.5">
      <c r="A1075" s="1"/>
      <c r="L1075" s="1"/>
      <c r="M1075" s="54"/>
      <c r="O1075" s="1"/>
      <c r="P1075" s="1"/>
      <c r="U1075" s="1"/>
      <c r="X1075" s="7"/>
      <c r="Y1075" s="7"/>
      <c r="Z1075" s="7"/>
      <c r="AA1075" s="7"/>
    </row>
    <row r="1076" spans="1:27" ht="16.5">
      <c r="A1076" s="1"/>
      <c r="L1076" s="1"/>
      <c r="M1076" s="54"/>
      <c r="O1076" s="1"/>
      <c r="P1076" s="1"/>
      <c r="U1076" s="1"/>
      <c r="X1076" s="7"/>
      <c r="Y1076" s="7"/>
      <c r="Z1076" s="7"/>
      <c r="AA1076" s="7"/>
    </row>
    <row r="1077" spans="1:27" ht="16.5">
      <c r="A1077" s="1"/>
      <c r="L1077" s="1"/>
      <c r="M1077" s="54"/>
      <c r="O1077" s="1"/>
      <c r="P1077" s="1"/>
      <c r="U1077" s="1"/>
      <c r="X1077" s="7"/>
      <c r="Y1077" s="7"/>
      <c r="Z1077" s="7"/>
      <c r="AA1077" s="7"/>
    </row>
    <row r="1078" spans="1:27" ht="16.5">
      <c r="A1078" s="1"/>
      <c r="L1078" s="1"/>
      <c r="M1078" s="54"/>
      <c r="O1078" s="1"/>
      <c r="P1078" s="1"/>
      <c r="U1078" s="1"/>
      <c r="X1078" s="7"/>
      <c r="Y1078" s="7"/>
      <c r="Z1078" s="7"/>
      <c r="AA1078" s="7"/>
    </row>
    <row r="1079" spans="1:27" ht="16.5">
      <c r="A1079" s="1"/>
      <c r="L1079" s="1"/>
      <c r="M1079" s="54"/>
      <c r="O1079" s="1"/>
      <c r="P1079" s="1"/>
      <c r="U1079" s="1"/>
      <c r="X1079" s="7"/>
      <c r="Y1079" s="7"/>
      <c r="Z1079" s="7"/>
      <c r="AA1079" s="7"/>
    </row>
    <row r="1080" spans="1:27" ht="16.5">
      <c r="A1080" s="1"/>
      <c r="L1080" s="1"/>
      <c r="M1080" s="54"/>
      <c r="O1080" s="1"/>
      <c r="P1080" s="1"/>
      <c r="U1080" s="1"/>
      <c r="X1080" s="7"/>
      <c r="Y1080" s="7"/>
      <c r="Z1080" s="7"/>
      <c r="AA1080" s="7"/>
    </row>
    <row r="1081" spans="1:27" ht="16.5">
      <c r="A1081" s="1"/>
      <c r="L1081" s="1"/>
      <c r="M1081" s="54"/>
      <c r="O1081" s="1"/>
      <c r="P1081" s="1"/>
      <c r="U1081" s="1"/>
      <c r="X1081" s="7"/>
      <c r="Y1081" s="7"/>
      <c r="Z1081" s="7"/>
      <c r="AA1081" s="7"/>
    </row>
    <row r="1082" spans="1:27" ht="16.5">
      <c r="A1082" s="1"/>
      <c r="L1082" s="1"/>
      <c r="M1082" s="54"/>
      <c r="O1082" s="1"/>
      <c r="P1082" s="1"/>
      <c r="U1082" s="1"/>
      <c r="X1082" s="7"/>
      <c r="Y1082" s="7"/>
      <c r="Z1082" s="7"/>
      <c r="AA1082" s="7"/>
    </row>
    <row r="1083" spans="1:27" ht="16.5">
      <c r="A1083" s="1"/>
      <c r="L1083" s="1"/>
      <c r="M1083" s="54"/>
      <c r="O1083" s="1"/>
      <c r="P1083" s="1"/>
      <c r="U1083" s="1"/>
      <c r="X1083" s="7"/>
      <c r="Y1083" s="7"/>
      <c r="Z1083" s="7"/>
      <c r="AA1083" s="7"/>
    </row>
    <row r="1084" spans="1:27" ht="16.5">
      <c r="A1084" s="1"/>
      <c r="L1084" s="1"/>
      <c r="M1084" s="54"/>
      <c r="O1084" s="1"/>
      <c r="P1084" s="1"/>
      <c r="U1084" s="1"/>
      <c r="X1084" s="7"/>
      <c r="Y1084" s="7"/>
      <c r="Z1084" s="7"/>
      <c r="AA1084" s="7"/>
    </row>
    <row r="1085" spans="1:27" ht="16.5">
      <c r="A1085" s="1"/>
      <c r="L1085" s="1"/>
      <c r="M1085" s="54"/>
      <c r="O1085" s="1"/>
      <c r="P1085" s="1"/>
      <c r="U1085" s="1"/>
      <c r="X1085" s="7"/>
      <c r="Y1085" s="7"/>
      <c r="Z1085" s="7"/>
      <c r="AA1085" s="7"/>
    </row>
    <row r="1086" spans="1:27" ht="16.5">
      <c r="A1086" s="1"/>
      <c r="L1086" s="1"/>
      <c r="M1086" s="54"/>
      <c r="O1086" s="1"/>
      <c r="P1086" s="1"/>
      <c r="U1086" s="1"/>
      <c r="X1086" s="7"/>
      <c r="Y1086" s="7"/>
      <c r="Z1086" s="7"/>
      <c r="AA1086" s="7"/>
    </row>
    <row r="1087" spans="1:27" ht="16.5">
      <c r="A1087" s="1"/>
      <c r="L1087" s="1"/>
      <c r="M1087" s="54"/>
      <c r="O1087" s="1"/>
      <c r="P1087" s="1"/>
      <c r="U1087" s="1"/>
      <c r="X1087" s="7"/>
      <c r="Y1087" s="7"/>
      <c r="Z1087" s="7"/>
      <c r="AA1087" s="7"/>
    </row>
    <row r="1088" spans="1:27" ht="16.5">
      <c r="A1088" s="1"/>
      <c r="L1088" s="1"/>
      <c r="M1088" s="54"/>
      <c r="O1088" s="1"/>
      <c r="P1088" s="1"/>
      <c r="U1088" s="1"/>
      <c r="X1088" s="7"/>
      <c r="Y1088" s="7"/>
      <c r="Z1088" s="7"/>
      <c r="AA1088" s="7"/>
    </row>
    <row r="1089" spans="1:27" ht="16.5">
      <c r="A1089" s="1"/>
      <c r="L1089" s="1"/>
      <c r="M1089" s="54"/>
      <c r="O1089" s="1"/>
      <c r="P1089" s="1"/>
      <c r="U1089" s="1"/>
      <c r="X1089" s="7"/>
      <c r="Y1089" s="7"/>
      <c r="Z1089" s="7"/>
      <c r="AA1089" s="7"/>
    </row>
    <row r="1090" spans="1:27" ht="16.5">
      <c r="A1090" s="1"/>
      <c r="L1090" s="1"/>
      <c r="M1090" s="54"/>
      <c r="O1090" s="1"/>
      <c r="P1090" s="1"/>
      <c r="U1090" s="1"/>
      <c r="X1090" s="7"/>
      <c r="Y1090" s="7"/>
      <c r="Z1090" s="7"/>
      <c r="AA1090" s="7"/>
    </row>
    <row r="1091" spans="1:27" ht="16.5">
      <c r="A1091" s="1"/>
      <c r="L1091" s="1"/>
      <c r="M1091" s="54"/>
      <c r="O1091" s="1"/>
      <c r="P1091" s="1"/>
      <c r="U1091" s="1"/>
      <c r="X1091" s="7"/>
      <c r="Y1091" s="7"/>
      <c r="Z1091" s="7"/>
      <c r="AA1091" s="7"/>
    </row>
    <row r="1092" spans="1:27" ht="16.5">
      <c r="A1092" s="1"/>
      <c r="L1092" s="1"/>
      <c r="M1092" s="54"/>
      <c r="O1092" s="1"/>
      <c r="P1092" s="1"/>
      <c r="U1092" s="1"/>
      <c r="X1092" s="7"/>
      <c r="Y1092" s="7"/>
      <c r="Z1092" s="7"/>
      <c r="AA1092" s="7"/>
    </row>
    <row r="1093" spans="1:27" ht="16.5">
      <c r="A1093" s="1"/>
      <c r="L1093" s="1"/>
      <c r="M1093" s="54"/>
      <c r="O1093" s="1"/>
      <c r="P1093" s="1"/>
      <c r="U1093" s="1"/>
      <c r="X1093" s="7"/>
      <c r="Y1093" s="7"/>
      <c r="Z1093" s="7"/>
      <c r="AA1093" s="7"/>
    </row>
    <row r="1094" spans="1:27" ht="16.5">
      <c r="A1094" s="1"/>
      <c r="L1094" s="1"/>
      <c r="M1094" s="54"/>
      <c r="O1094" s="1"/>
      <c r="P1094" s="1"/>
      <c r="U1094" s="1"/>
      <c r="X1094" s="7"/>
      <c r="Y1094" s="7"/>
      <c r="Z1094" s="7"/>
      <c r="AA1094" s="7"/>
    </row>
    <row r="1095" spans="1:27" ht="16.5">
      <c r="A1095" s="1"/>
      <c r="L1095" s="1"/>
      <c r="M1095" s="54"/>
      <c r="O1095" s="1"/>
      <c r="P1095" s="1"/>
      <c r="U1095" s="1"/>
      <c r="X1095" s="7"/>
      <c r="Y1095" s="7"/>
      <c r="Z1095" s="7"/>
      <c r="AA1095" s="7"/>
    </row>
    <row r="1096" spans="1:27" ht="16.5">
      <c r="A1096" s="1"/>
      <c r="L1096" s="1"/>
      <c r="M1096" s="54"/>
      <c r="O1096" s="1"/>
      <c r="P1096" s="1"/>
      <c r="U1096" s="1"/>
      <c r="X1096" s="7"/>
      <c r="Y1096" s="7"/>
      <c r="Z1096" s="7"/>
      <c r="AA1096" s="7"/>
    </row>
    <row r="1097" spans="1:27" ht="16.5">
      <c r="A1097" s="1"/>
      <c r="L1097" s="1"/>
      <c r="M1097" s="54"/>
      <c r="O1097" s="1"/>
      <c r="P1097" s="1"/>
      <c r="U1097" s="1"/>
      <c r="X1097" s="7"/>
      <c r="Y1097" s="7"/>
      <c r="Z1097" s="7"/>
      <c r="AA1097" s="7"/>
    </row>
    <row r="1098" spans="1:27" ht="16.5">
      <c r="A1098" s="1"/>
      <c r="L1098" s="1"/>
      <c r="M1098" s="54"/>
      <c r="O1098" s="1"/>
      <c r="P1098" s="1"/>
      <c r="U1098" s="1"/>
      <c r="X1098" s="7"/>
      <c r="Y1098" s="7"/>
      <c r="Z1098" s="7"/>
      <c r="AA1098" s="7"/>
    </row>
    <row r="1099" spans="1:27" ht="16.5">
      <c r="A1099" s="1"/>
      <c r="L1099" s="1"/>
      <c r="M1099" s="54"/>
      <c r="O1099" s="1"/>
      <c r="P1099" s="1"/>
      <c r="U1099" s="1"/>
      <c r="X1099" s="7"/>
      <c r="Y1099" s="7"/>
      <c r="Z1099" s="7"/>
      <c r="AA1099" s="7"/>
    </row>
    <row r="1100" spans="1:27" ht="16.5">
      <c r="A1100" s="1"/>
      <c r="L1100" s="1"/>
      <c r="M1100" s="54"/>
      <c r="O1100" s="1"/>
      <c r="P1100" s="1"/>
      <c r="U1100" s="1"/>
      <c r="X1100" s="7"/>
      <c r="Y1100" s="7"/>
      <c r="Z1100" s="7"/>
      <c r="AA1100" s="7"/>
    </row>
    <row r="1101" spans="1:27" ht="16.5">
      <c r="A1101" s="1"/>
      <c r="L1101" s="1"/>
      <c r="M1101" s="54"/>
      <c r="O1101" s="1"/>
      <c r="P1101" s="1"/>
      <c r="U1101" s="1"/>
      <c r="X1101" s="7"/>
      <c r="Y1101" s="7"/>
      <c r="Z1101" s="7"/>
      <c r="AA1101" s="7"/>
    </row>
    <row r="1102" spans="1:27" ht="16.5">
      <c r="A1102" s="1"/>
      <c r="L1102" s="1"/>
      <c r="M1102" s="54"/>
      <c r="O1102" s="1"/>
      <c r="P1102" s="1"/>
      <c r="U1102" s="1"/>
      <c r="X1102" s="7"/>
      <c r="Y1102" s="7"/>
      <c r="Z1102" s="7"/>
      <c r="AA1102" s="7"/>
    </row>
    <row r="1103" spans="1:27" ht="16.5">
      <c r="A1103" s="1"/>
      <c r="L1103" s="1"/>
      <c r="M1103" s="54"/>
      <c r="O1103" s="1"/>
      <c r="P1103" s="1"/>
      <c r="U1103" s="1"/>
      <c r="X1103" s="7"/>
      <c r="Y1103" s="7"/>
      <c r="Z1103" s="7"/>
      <c r="AA1103" s="7"/>
    </row>
    <row r="1104" spans="1:27" ht="16.5">
      <c r="A1104" s="1"/>
      <c r="L1104" s="1"/>
      <c r="M1104" s="54"/>
      <c r="O1104" s="1"/>
      <c r="P1104" s="1"/>
      <c r="U1104" s="1"/>
      <c r="X1104" s="7"/>
      <c r="Y1104" s="7"/>
      <c r="Z1104" s="7"/>
      <c r="AA1104" s="7"/>
    </row>
    <row r="1105" spans="1:27" ht="16.5">
      <c r="A1105" s="1"/>
      <c r="L1105" s="1"/>
      <c r="M1105" s="54"/>
      <c r="O1105" s="1"/>
      <c r="P1105" s="1"/>
      <c r="U1105" s="1"/>
      <c r="X1105" s="7"/>
      <c r="Y1105" s="7"/>
      <c r="Z1105" s="7"/>
      <c r="AA1105" s="7"/>
    </row>
    <row r="1106" spans="1:27" ht="16.5">
      <c r="A1106" s="1"/>
      <c r="L1106" s="1"/>
      <c r="M1106" s="54"/>
      <c r="O1106" s="1"/>
      <c r="P1106" s="1"/>
      <c r="U1106" s="1"/>
      <c r="X1106" s="7"/>
      <c r="Y1106" s="7"/>
      <c r="Z1106" s="7"/>
      <c r="AA1106" s="7"/>
    </row>
    <row r="1107" spans="1:27" ht="16.5">
      <c r="A1107" s="1"/>
      <c r="L1107" s="1"/>
      <c r="M1107" s="54"/>
      <c r="O1107" s="1"/>
      <c r="P1107" s="1"/>
      <c r="U1107" s="1"/>
      <c r="X1107" s="7"/>
      <c r="Y1107" s="7"/>
      <c r="Z1107" s="7"/>
      <c r="AA1107" s="7"/>
    </row>
    <row r="1108" spans="1:27" ht="16.5">
      <c r="A1108" s="1"/>
      <c r="L1108" s="1"/>
      <c r="M1108" s="54"/>
      <c r="O1108" s="1"/>
      <c r="P1108" s="1"/>
      <c r="U1108" s="1"/>
      <c r="X1108" s="7"/>
      <c r="Y1108" s="7"/>
      <c r="Z1108" s="7"/>
      <c r="AA1108" s="7"/>
    </row>
    <row r="1109" spans="1:27" ht="16.5">
      <c r="A1109" s="1"/>
      <c r="L1109" s="1"/>
      <c r="M1109" s="54"/>
      <c r="O1109" s="1"/>
      <c r="P1109" s="1"/>
      <c r="U1109" s="1"/>
      <c r="X1109" s="7"/>
      <c r="Y1109" s="7"/>
      <c r="Z1109" s="7"/>
      <c r="AA1109" s="7"/>
    </row>
    <row r="1110" spans="1:27" ht="16.5">
      <c r="A1110" s="1"/>
      <c r="L1110" s="1"/>
      <c r="M1110" s="54"/>
      <c r="O1110" s="1"/>
      <c r="P1110" s="1"/>
      <c r="U1110" s="1"/>
      <c r="X1110" s="7"/>
      <c r="Y1110" s="7"/>
      <c r="Z1110" s="7"/>
      <c r="AA1110" s="7"/>
    </row>
    <row r="1111" spans="1:27" ht="16.5">
      <c r="A1111" s="1"/>
      <c r="L1111" s="1"/>
      <c r="M1111" s="54"/>
      <c r="O1111" s="1"/>
      <c r="P1111" s="1"/>
      <c r="U1111" s="1"/>
      <c r="X1111" s="7"/>
      <c r="Y1111" s="7"/>
      <c r="Z1111" s="7"/>
      <c r="AA1111" s="7"/>
    </row>
    <row r="1112" spans="1:27" ht="16.5">
      <c r="A1112" s="1"/>
      <c r="L1112" s="1"/>
      <c r="M1112" s="54"/>
      <c r="O1112" s="1"/>
      <c r="P1112" s="1"/>
      <c r="U1112" s="1"/>
      <c r="X1112" s="7"/>
      <c r="Y1112" s="7"/>
      <c r="Z1112" s="7"/>
      <c r="AA1112" s="7"/>
    </row>
    <row r="1113" spans="1:27" ht="16.5">
      <c r="A1113" s="1"/>
      <c r="L1113" s="1"/>
      <c r="M1113" s="54"/>
      <c r="O1113" s="1"/>
      <c r="P1113" s="1"/>
      <c r="U1113" s="1"/>
      <c r="X1113" s="7"/>
      <c r="Y1113" s="7"/>
      <c r="Z1113" s="7"/>
      <c r="AA1113" s="7"/>
    </row>
    <row r="1114" spans="1:27" ht="16.5">
      <c r="A1114" s="1"/>
      <c r="L1114" s="1"/>
      <c r="M1114" s="54"/>
      <c r="O1114" s="1"/>
      <c r="P1114" s="1"/>
      <c r="U1114" s="1"/>
      <c r="X1114" s="7"/>
      <c r="Y1114" s="7"/>
      <c r="Z1114" s="7"/>
      <c r="AA1114" s="7"/>
    </row>
    <row r="1115" spans="1:27" ht="16.5">
      <c r="A1115" s="1"/>
      <c r="L1115" s="1"/>
      <c r="M1115" s="54"/>
      <c r="O1115" s="1"/>
      <c r="P1115" s="1"/>
      <c r="U1115" s="1"/>
      <c r="X1115" s="7"/>
      <c r="Y1115" s="7"/>
      <c r="Z1115" s="7"/>
      <c r="AA1115" s="7"/>
    </row>
    <row r="1116" spans="1:27" ht="16.5">
      <c r="A1116" s="1"/>
      <c r="L1116" s="1"/>
      <c r="M1116" s="54"/>
      <c r="O1116" s="1"/>
      <c r="P1116" s="1"/>
      <c r="U1116" s="1"/>
      <c r="X1116" s="7"/>
      <c r="Y1116" s="7"/>
      <c r="Z1116" s="7"/>
      <c r="AA1116" s="7"/>
    </row>
    <row r="1117" spans="1:27" ht="16.5">
      <c r="A1117" s="1"/>
      <c r="L1117" s="1"/>
      <c r="M1117" s="54"/>
      <c r="O1117" s="1"/>
      <c r="P1117" s="1"/>
      <c r="U1117" s="1"/>
      <c r="X1117" s="7"/>
      <c r="Y1117" s="7"/>
      <c r="Z1117" s="7"/>
      <c r="AA1117" s="7"/>
    </row>
    <row r="1118" spans="1:27" ht="16.5">
      <c r="A1118" s="1"/>
      <c r="L1118" s="1"/>
      <c r="M1118" s="54"/>
      <c r="O1118" s="1"/>
      <c r="P1118" s="1"/>
      <c r="U1118" s="1"/>
      <c r="X1118" s="7"/>
      <c r="Y1118" s="7"/>
      <c r="Z1118" s="7"/>
      <c r="AA1118" s="7"/>
    </row>
    <row r="1119" spans="1:27" ht="16.5">
      <c r="A1119" s="1"/>
      <c r="L1119" s="1"/>
      <c r="M1119" s="54"/>
      <c r="O1119" s="1"/>
      <c r="P1119" s="1"/>
      <c r="U1119" s="1"/>
      <c r="X1119" s="7"/>
      <c r="Y1119" s="7"/>
      <c r="Z1119" s="7"/>
      <c r="AA1119" s="7"/>
    </row>
    <row r="1120" spans="1:27" ht="16.5">
      <c r="A1120" s="1"/>
      <c r="L1120" s="1"/>
      <c r="M1120" s="54"/>
      <c r="O1120" s="1"/>
      <c r="P1120" s="1"/>
      <c r="U1120" s="1"/>
      <c r="X1120" s="7"/>
      <c r="Y1120" s="7"/>
      <c r="Z1120" s="7"/>
      <c r="AA1120" s="7"/>
    </row>
    <row r="1121" spans="1:27" ht="16.5">
      <c r="A1121" s="1"/>
      <c r="L1121" s="1"/>
      <c r="M1121" s="54"/>
      <c r="O1121" s="1"/>
      <c r="P1121" s="1"/>
      <c r="U1121" s="1"/>
      <c r="X1121" s="7"/>
      <c r="Y1121" s="7"/>
      <c r="Z1121" s="7"/>
      <c r="AA1121" s="7"/>
    </row>
    <row r="1122" spans="1:27" ht="16.5">
      <c r="A1122" s="1"/>
      <c r="L1122" s="1"/>
      <c r="M1122" s="54"/>
      <c r="O1122" s="1"/>
      <c r="P1122" s="1"/>
      <c r="U1122" s="1"/>
      <c r="X1122" s="7"/>
      <c r="Y1122" s="7"/>
      <c r="Z1122" s="7"/>
      <c r="AA1122" s="7"/>
    </row>
    <row r="1123" spans="1:27" ht="16.5">
      <c r="A1123" s="1"/>
      <c r="L1123" s="1"/>
      <c r="M1123" s="54"/>
      <c r="O1123" s="1"/>
      <c r="P1123" s="1"/>
      <c r="U1123" s="1"/>
      <c r="X1123" s="7"/>
      <c r="Y1123" s="7"/>
      <c r="Z1123" s="7"/>
      <c r="AA1123" s="7"/>
    </row>
    <row r="1124" spans="1:27" ht="16.5">
      <c r="A1124" s="1"/>
      <c r="L1124" s="1"/>
      <c r="M1124" s="54"/>
      <c r="O1124" s="1"/>
      <c r="P1124" s="1"/>
      <c r="U1124" s="1"/>
      <c r="X1124" s="7"/>
      <c r="Y1124" s="7"/>
      <c r="Z1124" s="7"/>
      <c r="AA1124" s="7"/>
    </row>
    <row r="1125" spans="1:27" ht="16.5">
      <c r="A1125" s="1"/>
      <c r="L1125" s="1"/>
      <c r="M1125" s="54"/>
      <c r="O1125" s="1"/>
      <c r="P1125" s="1"/>
      <c r="U1125" s="1"/>
      <c r="X1125" s="7"/>
      <c r="Y1125" s="7"/>
      <c r="Z1125" s="7"/>
      <c r="AA1125" s="7"/>
    </row>
    <row r="1126" spans="1:27" ht="16.5">
      <c r="A1126" s="1"/>
      <c r="L1126" s="1"/>
      <c r="M1126" s="54"/>
      <c r="O1126" s="1"/>
      <c r="P1126" s="1"/>
      <c r="U1126" s="1"/>
      <c r="X1126" s="7"/>
      <c r="Y1126" s="7"/>
      <c r="Z1126" s="7"/>
      <c r="AA1126" s="7"/>
    </row>
    <row r="1127" spans="1:27" ht="16.5">
      <c r="A1127" s="1"/>
      <c r="L1127" s="1"/>
      <c r="M1127" s="54"/>
      <c r="O1127" s="1"/>
      <c r="P1127" s="1"/>
      <c r="U1127" s="1"/>
      <c r="X1127" s="7"/>
      <c r="Y1127" s="7"/>
      <c r="Z1127" s="7"/>
      <c r="AA1127" s="7"/>
    </row>
    <row r="1128" spans="1:27" ht="16.5">
      <c r="A1128" s="1"/>
      <c r="L1128" s="1"/>
      <c r="M1128" s="54"/>
      <c r="O1128" s="1"/>
      <c r="P1128" s="1"/>
      <c r="U1128" s="1"/>
      <c r="X1128" s="7"/>
      <c r="Y1128" s="7"/>
      <c r="Z1128" s="7"/>
      <c r="AA1128" s="7"/>
    </row>
    <row r="1129" spans="1:27" ht="16.5">
      <c r="A1129" s="1"/>
      <c r="L1129" s="1"/>
      <c r="M1129" s="54"/>
      <c r="O1129" s="1"/>
      <c r="P1129" s="1"/>
      <c r="U1129" s="1"/>
      <c r="X1129" s="7"/>
      <c r="Y1129" s="7"/>
      <c r="Z1129" s="7"/>
      <c r="AA1129" s="7"/>
    </row>
    <row r="1130" spans="1:27" ht="16.5">
      <c r="A1130" s="1"/>
      <c r="L1130" s="1"/>
      <c r="M1130" s="54"/>
      <c r="O1130" s="1"/>
      <c r="P1130" s="1"/>
      <c r="U1130" s="1"/>
      <c r="X1130" s="7"/>
      <c r="Y1130" s="7"/>
      <c r="Z1130" s="7"/>
      <c r="AA1130" s="7"/>
    </row>
    <row r="1131" spans="1:27" ht="16.5">
      <c r="A1131" s="1"/>
      <c r="L1131" s="1"/>
      <c r="M1131" s="54"/>
      <c r="O1131" s="1"/>
      <c r="P1131" s="1"/>
      <c r="U1131" s="1"/>
      <c r="X1131" s="7"/>
      <c r="Y1131" s="7"/>
      <c r="Z1131" s="7"/>
      <c r="AA1131" s="7"/>
    </row>
    <row r="1132" spans="1:27" ht="16.5">
      <c r="A1132" s="1"/>
      <c r="L1132" s="1"/>
      <c r="M1132" s="54"/>
      <c r="O1132" s="1"/>
      <c r="P1132" s="1"/>
      <c r="U1132" s="1"/>
      <c r="X1132" s="7"/>
      <c r="Y1132" s="7"/>
      <c r="Z1132" s="7"/>
      <c r="AA1132" s="7"/>
    </row>
    <row r="1133" spans="1:27" ht="16.5">
      <c r="A1133" s="1"/>
      <c r="L1133" s="1"/>
      <c r="M1133" s="54"/>
      <c r="O1133" s="1"/>
      <c r="P1133" s="1"/>
      <c r="U1133" s="1"/>
      <c r="X1133" s="7"/>
      <c r="Y1133" s="7"/>
      <c r="Z1133" s="7"/>
      <c r="AA1133" s="7"/>
    </row>
    <row r="1134" spans="1:27" ht="16.5">
      <c r="A1134" s="1"/>
      <c r="L1134" s="1"/>
      <c r="M1134" s="54"/>
      <c r="O1134" s="1"/>
      <c r="P1134" s="1"/>
      <c r="U1134" s="1"/>
      <c r="X1134" s="7"/>
      <c r="Y1134" s="7"/>
      <c r="Z1134" s="7"/>
      <c r="AA1134" s="7"/>
    </row>
    <row r="1135" spans="1:27" ht="16.5">
      <c r="A1135" s="1"/>
      <c r="L1135" s="1"/>
      <c r="M1135" s="54"/>
      <c r="O1135" s="1"/>
      <c r="P1135" s="1"/>
      <c r="U1135" s="1"/>
      <c r="X1135" s="7"/>
      <c r="Y1135" s="7"/>
      <c r="Z1135" s="7"/>
      <c r="AA1135" s="7"/>
    </row>
    <row r="1136" spans="1:27" ht="16.5">
      <c r="A1136" s="1"/>
      <c r="L1136" s="1"/>
      <c r="M1136" s="54"/>
      <c r="O1136" s="1"/>
      <c r="P1136" s="1"/>
      <c r="U1136" s="1"/>
      <c r="X1136" s="7"/>
      <c r="Y1136" s="7"/>
      <c r="Z1136" s="7"/>
      <c r="AA1136" s="7"/>
    </row>
    <row r="1137" spans="1:27" ht="16.5">
      <c r="A1137" s="1"/>
      <c r="L1137" s="1"/>
      <c r="M1137" s="54"/>
      <c r="O1137" s="1"/>
      <c r="P1137" s="1"/>
      <c r="U1137" s="1"/>
      <c r="X1137" s="7"/>
      <c r="Y1137" s="7"/>
      <c r="Z1137" s="7"/>
      <c r="AA1137" s="7"/>
    </row>
    <row r="1138" spans="1:27" ht="16.5">
      <c r="A1138" s="1"/>
      <c r="L1138" s="1"/>
      <c r="M1138" s="54"/>
      <c r="O1138" s="1"/>
      <c r="P1138" s="1"/>
      <c r="U1138" s="1"/>
      <c r="X1138" s="7"/>
      <c r="Y1138" s="7"/>
      <c r="Z1138" s="7"/>
      <c r="AA1138" s="7"/>
    </row>
    <row r="1139" spans="1:27" ht="16.5">
      <c r="A1139" s="1"/>
      <c r="L1139" s="1"/>
      <c r="M1139" s="54"/>
      <c r="O1139" s="1"/>
      <c r="P1139" s="1"/>
      <c r="U1139" s="1"/>
      <c r="X1139" s="7"/>
      <c r="Y1139" s="7"/>
      <c r="Z1139" s="7"/>
      <c r="AA1139" s="7"/>
    </row>
    <row r="1140" spans="1:27" ht="16.5">
      <c r="A1140" s="1"/>
      <c r="L1140" s="1"/>
      <c r="M1140" s="54"/>
      <c r="O1140" s="1"/>
      <c r="P1140" s="1"/>
      <c r="U1140" s="1"/>
      <c r="X1140" s="7"/>
      <c r="Y1140" s="7"/>
      <c r="Z1140" s="7"/>
      <c r="AA1140" s="7"/>
    </row>
    <row r="1141" spans="1:27" ht="16.5">
      <c r="A1141" s="1"/>
      <c r="L1141" s="1"/>
      <c r="M1141" s="54"/>
      <c r="O1141" s="1"/>
      <c r="P1141" s="1"/>
      <c r="U1141" s="1"/>
      <c r="X1141" s="7"/>
      <c r="Y1141" s="7"/>
      <c r="Z1141" s="7"/>
      <c r="AA1141" s="7"/>
    </row>
    <row r="1142" spans="1:27" ht="16.5">
      <c r="A1142" s="1"/>
      <c r="L1142" s="1"/>
      <c r="M1142" s="54"/>
      <c r="O1142" s="1"/>
      <c r="P1142" s="1"/>
      <c r="U1142" s="1"/>
      <c r="X1142" s="7"/>
      <c r="Y1142" s="7"/>
      <c r="Z1142" s="7"/>
      <c r="AA1142" s="7"/>
    </row>
    <row r="1143" spans="1:27" ht="16.5">
      <c r="A1143" s="1"/>
      <c r="L1143" s="1"/>
      <c r="M1143" s="54"/>
      <c r="O1143" s="1"/>
      <c r="P1143" s="1"/>
      <c r="U1143" s="1"/>
      <c r="X1143" s="7"/>
      <c r="Y1143" s="7"/>
      <c r="Z1143" s="7"/>
      <c r="AA1143" s="7"/>
    </row>
    <row r="1144" spans="1:27" ht="16.5">
      <c r="A1144" s="1"/>
      <c r="L1144" s="1"/>
      <c r="M1144" s="54"/>
      <c r="O1144" s="1"/>
      <c r="P1144" s="1"/>
      <c r="U1144" s="1"/>
      <c r="X1144" s="7"/>
      <c r="Y1144" s="7"/>
      <c r="Z1144" s="7"/>
      <c r="AA1144" s="7"/>
    </row>
  </sheetData>
  <sheetProtection/>
  <mergeCells count="745">
    <mergeCell ref="B155:E155"/>
    <mergeCell ref="B154:E154"/>
    <mergeCell ref="B153:E153"/>
    <mergeCell ref="E208:E211"/>
    <mergeCell ref="E174:E177"/>
    <mergeCell ref="E170:E173"/>
    <mergeCell ref="B166:E166"/>
    <mergeCell ref="B165:E165"/>
    <mergeCell ref="C156:C158"/>
    <mergeCell ref="AA32:AA35"/>
    <mergeCell ref="Z32:Z35"/>
    <mergeCell ref="Y32:Y35"/>
    <mergeCell ref="T32:T33"/>
    <mergeCell ref="AA28:AA31"/>
    <mergeCell ref="Z28:Z31"/>
    <mergeCell ref="Y28:Y31"/>
    <mergeCell ref="X28:X31"/>
    <mergeCell ref="T28:T29"/>
    <mergeCell ref="O44:O45"/>
    <mergeCell ref="N44:N51"/>
    <mergeCell ref="X42:X43"/>
    <mergeCell ref="X40:X41"/>
    <mergeCell ref="V36:V43"/>
    <mergeCell ref="T36:T37"/>
    <mergeCell ref="Q36:Q37"/>
    <mergeCell ref="Y50:Y51"/>
    <mergeCell ref="AA48:AA49"/>
    <mergeCell ref="Z48:Z49"/>
    <mergeCell ref="Z44:Z47"/>
    <mergeCell ref="R44:R45"/>
    <mergeCell ref="Q44:Q45"/>
    <mergeCell ref="R64:R65"/>
    <mergeCell ref="P64:P65"/>
    <mergeCell ref="N64:N67"/>
    <mergeCell ref="T60:T61"/>
    <mergeCell ref="S60:S61"/>
    <mergeCell ref="T52:T53"/>
    <mergeCell ref="AA72:AA75"/>
    <mergeCell ref="Z72:Z75"/>
    <mergeCell ref="Y72:Y75"/>
    <mergeCell ref="O72:O73"/>
    <mergeCell ref="N72:N75"/>
    <mergeCell ref="X68:X71"/>
    <mergeCell ref="T68:T69"/>
    <mergeCell ref="O68:O69"/>
    <mergeCell ref="N68:N71"/>
    <mergeCell ref="S80:S81"/>
    <mergeCell ref="P80:P81"/>
    <mergeCell ref="O80:O81"/>
    <mergeCell ref="N80:N83"/>
    <mergeCell ref="R76:R77"/>
    <mergeCell ref="O76:O77"/>
    <mergeCell ref="N76:N79"/>
    <mergeCell ref="S88:S89"/>
    <mergeCell ref="Q88:Q89"/>
    <mergeCell ref="P88:P89"/>
    <mergeCell ref="O88:O89"/>
    <mergeCell ref="S84:S85"/>
    <mergeCell ref="R84:R85"/>
    <mergeCell ref="T92:T93"/>
    <mergeCell ref="S92:S93"/>
    <mergeCell ref="R92:R93"/>
    <mergeCell ref="Q92:Q93"/>
    <mergeCell ref="P92:P93"/>
    <mergeCell ref="N92:N95"/>
    <mergeCell ref="R106:R107"/>
    <mergeCell ref="O106:O107"/>
    <mergeCell ref="N106:N109"/>
    <mergeCell ref="T102:T103"/>
    <mergeCell ref="S102:S103"/>
    <mergeCell ref="R102:R103"/>
    <mergeCell ref="Q102:Q103"/>
    <mergeCell ref="O102:O103"/>
    <mergeCell ref="N149:N152"/>
    <mergeCell ref="S141:S142"/>
    <mergeCell ref="O141:O142"/>
    <mergeCell ref="N141:N144"/>
    <mergeCell ref="O137:O138"/>
    <mergeCell ref="Q114:Q115"/>
    <mergeCell ref="P114:P115"/>
    <mergeCell ref="O114:O115"/>
    <mergeCell ref="U149:U150"/>
    <mergeCell ref="T149:T150"/>
    <mergeCell ref="S149:S150"/>
    <mergeCell ref="R149:R150"/>
    <mergeCell ref="Q149:Q150"/>
    <mergeCell ref="O149:O150"/>
    <mergeCell ref="J64:J65"/>
    <mergeCell ref="K64:K65"/>
    <mergeCell ref="L64:L65"/>
    <mergeCell ref="G64:G65"/>
    <mergeCell ref="H68:H69"/>
    <mergeCell ref="I68:I69"/>
    <mergeCell ref="G68:G69"/>
    <mergeCell ref="E64:E67"/>
    <mergeCell ref="F64:F65"/>
    <mergeCell ref="L7:L9"/>
    <mergeCell ref="P9:P10"/>
    <mergeCell ref="J8:J9"/>
    <mergeCell ref="K8:K9"/>
    <mergeCell ref="K20:K21"/>
    <mergeCell ref="F20:F21"/>
    <mergeCell ref="G20:G21"/>
    <mergeCell ref="H20:H21"/>
    <mergeCell ref="N7:AA7"/>
    <mergeCell ref="O8:T8"/>
    <mergeCell ref="V8:V10"/>
    <mergeCell ref="X8:AA8"/>
    <mergeCell ref="O9:O10"/>
    <mergeCell ref="G8:G9"/>
    <mergeCell ref="H8:H9"/>
    <mergeCell ref="I8:I9"/>
    <mergeCell ref="Z9:AA9"/>
    <mergeCell ref="X10:X12"/>
    <mergeCell ref="X9:Y9"/>
    <mergeCell ref="V11:V13"/>
    <mergeCell ref="R9:R10"/>
    <mergeCell ref="S9:S10"/>
    <mergeCell ref="T9:T10"/>
    <mergeCell ref="Q9:Q10"/>
    <mergeCell ref="X13:Y13"/>
    <mergeCell ref="Y10:Y12"/>
    <mergeCell ref="Z13:AA13"/>
    <mergeCell ref="Z10:Z12"/>
    <mergeCell ref="AA10:AA12"/>
    <mergeCell ref="X14:X16"/>
    <mergeCell ref="AA14:AA16"/>
    <mergeCell ref="Y14:Y16"/>
    <mergeCell ref="V14:V16"/>
    <mergeCell ref="A5:K5"/>
    <mergeCell ref="A6:K6"/>
    <mergeCell ref="A7:A9"/>
    <mergeCell ref="B7:B9"/>
    <mergeCell ref="C7:C9"/>
    <mergeCell ref="D7:D9"/>
    <mergeCell ref="E7:E9"/>
    <mergeCell ref="F7:F9"/>
    <mergeCell ref="G7:K7"/>
    <mergeCell ref="N14:N16"/>
    <mergeCell ref="B11:E11"/>
    <mergeCell ref="B12:E12"/>
    <mergeCell ref="B13:E13"/>
    <mergeCell ref="N17:N19"/>
    <mergeCell ref="D20:D23"/>
    <mergeCell ref="E20:E23"/>
    <mergeCell ref="I20:I21"/>
    <mergeCell ref="J20:J21"/>
    <mergeCell ref="Z17:Z19"/>
    <mergeCell ref="AA17:AA19"/>
    <mergeCell ref="Z14:Z16"/>
    <mergeCell ref="A36:A43"/>
    <mergeCell ref="B14:E14"/>
    <mergeCell ref="B15:E15"/>
    <mergeCell ref="B16:E16"/>
    <mergeCell ref="B17:E17"/>
    <mergeCell ref="Q20:Q21"/>
    <mergeCell ref="R20:R21"/>
    <mergeCell ref="X17:X19"/>
    <mergeCell ref="A20:A23"/>
    <mergeCell ref="C20:C23"/>
    <mergeCell ref="B18:E18"/>
    <mergeCell ref="B19:E19"/>
    <mergeCell ref="V20:V23"/>
    <mergeCell ref="X20:X23"/>
    <mergeCell ref="S20:S21"/>
    <mergeCell ref="T20:T21"/>
    <mergeCell ref="L20:L21"/>
    <mergeCell ref="V17:V19"/>
    <mergeCell ref="Y17:Y19"/>
    <mergeCell ref="I24:I25"/>
    <mergeCell ref="J24:J25"/>
    <mergeCell ref="K24:K25"/>
    <mergeCell ref="L24:L25"/>
    <mergeCell ref="N20:N23"/>
    <mergeCell ref="Y20:Y23"/>
    <mergeCell ref="N24:N27"/>
    <mergeCell ref="Y24:Y27"/>
    <mergeCell ref="S24:S25"/>
    <mergeCell ref="T24:T25"/>
    <mergeCell ref="V24:V27"/>
    <mergeCell ref="O20:O21"/>
    <mergeCell ref="Z20:Z23"/>
    <mergeCell ref="Q24:Q25"/>
    <mergeCell ref="P24:P25"/>
    <mergeCell ref="Z24:Z27"/>
    <mergeCell ref="P20:P21"/>
    <mergeCell ref="AA20:AA23"/>
    <mergeCell ref="A24:A27"/>
    <mergeCell ref="C24:C27"/>
    <mergeCell ref="D24:D27"/>
    <mergeCell ref="E24:E27"/>
    <mergeCell ref="F24:F25"/>
    <mergeCell ref="O24:O25"/>
    <mergeCell ref="AA24:AA27"/>
    <mergeCell ref="X24:X27"/>
    <mergeCell ref="R24:R25"/>
    <mergeCell ref="G28:G29"/>
    <mergeCell ref="H24:H25"/>
    <mergeCell ref="G24:G25"/>
    <mergeCell ref="A28:A31"/>
    <mergeCell ref="C28:C31"/>
    <mergeCell ref="D28:D31"/>
    <mergeCell ref="E28:E31"/>
    <mergeCell ref="F28:F29"/>
    <mergeCell ref="V32:V35"/>
    <mergeCell ref="X32:X35"/>
    <mergeCell ref="F32:F33"/>
    <mergeCell ref="G32:G33"/>
    <mergeCell ref="L32:L33"/>
    <mergeCell ref="A32:A35"/>
    <mergeCell ref="C32:C35"/>
    <mergeCell ref="D32:D35"/>
    <mergeCell ref="E32:E35"/>
    <mergeCell ref="K32:K33"/>
    <mergeCell ref="L28:L29"/>
    <mergeCell ref="R28:R29"/>
    <mergeCell ref="V28:V31"/>
    <mergeCell ref="S28:S29"/>
    <mergeCell ref="S32:S33"/>
    <mergeCell ref="P28:P29"/>
    <mergeCell ref="H28:H29"/>
    <mergeCell ref="I28:I29"/>
    <mergeCell ref="O28:O29"/>
    <mergeCell ref="J28:J29"/>
    <mergeCell ref="K28:K29"/>
    <mergeCell ref="Q28:Q29"/>
    <mergeCell ref="Q32:Q33"/>
    <mergeCell ref="R32:R33"/>
    <mergeCell ref="H36:H37"/>
    <mergeCell ref="I36:I37"/>
    <mergeCell ref="H32:H33"/>
    <mergeCell ref="I32:I33"/>
    <mergeCell ref="J36:J37"/>
    <mergeCell ref="O32:O33"/>
    <mergeCell ref="N32:N35"/>
    <mergeCell ref="R36:R37"/>
    <mergeCell ref="S36:S37"/>
    <mergeCell ref="N36:N43"/>
    <mergeCell ref="K36:K37"/>
    <mergeCell ref="C36:C43"/>
    <mergeCell ref="D36:D39"/>
    <mergeCell ref="E36:E43"/>
    <mergeCell ref="F36:F37"/>
    <mergeCell ref="D42:D43"/>
    <mergeCell ref="P32:P33"/>
    <mergeCell ref="J32:J33"/>
    <mergeCell ref="G36:G37"/>
    <mergeCell ref="D40:D41"/>
    <mergeCell ref="O36:O37"/>
    <mergeCell ref="P36:P37"/>
    <mergeCell ref="D48:D49"/>
    <mergeCell ref="D44:D47"/>
    <mergeCell ref="L36:L37"/>
    <mergeCell ref="Z36:Z43"/>
    <mergeCell ref="X36:X39"/>
    <mergeCell ref="Y44:Y47"/>
    <mergeCell ref="X50:X51"/>
    <mergeCell ref="Y36:Y43"/>
    <mergeCell ref="P44:P45"/>
    <mergeCell ref="T44:T45"/>
    <mergeCell ref="V44:V51"/>
    <mergeCell ref="X48:X49"/>
    <mergeCell ref="S44:S45"/>
    <mergeCell ref="Y56:Y57"/>
    <mergeCell ref="G60:G61"/>
    <mergeCell ref="I60:I61"/>
    <mergeCell ref="J52:J53"/>
    <mergeCell ref="G52:G53"/>
    <mergeCell ref="H60:H61"/>
    <mergeCell ref="J60:J61"/>
    <mergeCell ref="K60:K61"/>
    <mergeCell ref="L60:L61"/>
    <mergeCell ref="H52:H53"/>
    <mergeCell ref="AA36:AA43"/>
    <mergeCell ref="V52:V59"/>
    <mergeCell ref="X56:X57"/>
    <mergeCell ref="AA52:AA55"/>
    <mergeCell ref="AA44:AA47"/>
    <mergeCell ref="Z50:Z51"/>
    <mergeCell ref="AA50:AA51"/>
    <mergeCell ref="Z56:Z57"/>
    <mergeCell ref="AA56:AA57"/>
    <mergeCell ref="Z58:Z59"/>
    <mergeCell ref="A68:A71"/>
    <mergeCell ref="C68:C71"/>
    <mergeCell ref="A52:A59"/>
    <mergeCell ref="C52:C59"/>
    <mergeCell ref="A60:A63"/>
    <mergeCell ref="C60:C63"/>
    <mergeCell ref="A64:A67"/>
    <mergeCell ref="C64:C67"/>
    <mergeCell ref="D56:D57"/>
    <mergeCell ref="E60:E63"/>
    <mergeCell ref="F60:F61"/>
    <mergeCell ref="D52:D55"/>
    <mergeCell ref="F52:F53"/>
    <mergeCell ref="E52:E59"/>
    <mergeCell ref="D60:D63"/>
    <mergeCell ref="H64:H65"/>
    <mergeCell ref="I64:I65"/>
    <mergeCell ref="D68:D71"/>
    <mergeCell ref="E68:E71"/>
    <mergeCell ref="F68:F69"/>
    <mergeCell ref="D64:D67"/>
    <mergeCell ref="I52:I53"/>
    <mergeCell ref="K52:K53"/>
    <mergeCell ref="J44:J45"/>
    <mergeCell ref="L44:L45"/>
    <mergeCell ref="E44:E51"/>
    <mergeCell ref="F44:F45"/>
    <mergeCell ref="G44:G45"/>
    <mergeCell ref="I44:I45"/>
    <mergeCell ref="H44:H45"/>
    <mergeCell ref="R52:R53"/>
    <mergeCell ref="S52:S53"/>
    <mergeCell ref="O52:O53"/>
    <mergeCell ref="A44:A51"/>
    <mergeCell ref="C44:C51"/>
    <mergeCell ref="L52:L53"/>
    <mergeCell ref="P52:P53"/>
    <mergeCell ref="N52:N59"/>
    <mergeCell ref="D50:D51"/>
    <mergeCell ref="D58:D59"/>
    <mergeCell ref="AA58:AA59"/>
    <mergeCell ref="X58:X59"/>
    <mergeCell ref="Y58:Y59"/>
    <mergeCell ref="X52:X55"/>
    <mergeCell ref="Y52:Y55"/>
    <mergeCell ref="K44:K45"/>
    <mergeCell ref="Y48:Y49"/>
    <mergeCell ref="Z52:Z55"/>
    <mergeCell ref="X44:X47"/>
    <mergeCell ref="Q52:Q53"/>
    <mergeCell ref="J68:J69"/>
    <mergeCell ref="K68:K69"/>
    <mergeCell ref="L68:L69"/>
    <mergeCell ref="K72:K73"/>
    <mergeCell ref="V60:V63"/>
    <mergeCell ref="X60:X63"/>
    <mergeCell ref="N60:N63"/>
    <mergeCell ref="P60:P61"/>
    <mergeCell ref="Q60:Q61"/>
    <mergeCell ref="R60:R61"/>
    <mergeCell ref="X64:X67"/>
    <mergeCell ref="Y60:Y63"/>
    <mergeCell ref="Z60:Z63"/>
    <mergeCell ref="AA64:AA67"/>
    <mergeCell ref="AA68:AA71"/>
    <mergeCell ref="Y64:Y67"/>
    <mergeCell ref="Z64:Z67"/>
    <mergeCell ref="Z68:Z71"/>
    <mergeCell ref="Y68:Y71"/>
    <mergeCell ref="AA60:AA63"/>
    <mergeCell ref="Q64:Q65"/>
    <mergeCell ref="U68:U69"/>
    <mergeCell ref="V68:V71"/>
    <mergeCell ref="P68:P69"/>
    <mergeCell ref="Q68:Q69"/>
    <mergeCell ref="R68:R69"/>
    <mergeCell ref="S68:S69"/>
    <mergeCell ref="S64:S65"/>
    <mergeCell ref="T64:T65"/>
    <mergeCell ref="V64:V67"/>
    <mergeCell ref="X72:X75"/>
    <mergeCell ref="U72:U73"/>
    <mergeCell ref="V72:V75"/>
    <mergeCell ref="P72:P73"/>
    <mergeCell ref="X76:X79"/>
    <mergeCell ref="U76:U77"/>
    <mergeCell ref="V76:V79"/>
    <mergeCell ref="T76:T77"/>
    <mergeCell ref="Q72:Q73"/>
    <mergeCell ref="R72:R73"/>
    <mergeCell ref="S72:S73"/>
    <mergeCell ref="J72:J73"/>
    <mergeCell ref="S76:S77"/>
    <mergeCell ref="T72:T73"/>
    <mergeCell ref="K76:K77"/>
    <mergeCell ref="P76:P77"/>
    <mergeCell ref="Q76:Q77"/>
    <mergeCell ref="L76:L77"/>
    <mergeCell ref="H72:H73"/>
    <mergeCell ref="I72:I73"/>
    <mergeCell ref="J76:J77"/>
    <mergeCell ref="L72:L73"/>
    <mergeCell ref="L102:L103"/>
    <mergeCell ref="L88:L89"/>
    <mergeCell ref="F106:F107"/>
    <mergeCell ref="H106:H107"/>
    <mergeCell ref="H102:H103"/>
    <mergeCell ref="G102:G103"/>
    <mergeCell ref="F102:F103"/>
    <mergeCell ref="J106:J107"/>
    <mergeCell ref="I102:I103"/>
    <mergeCell ref="K80:K81"/>
    <mergeCell ref="L80:L81"/>
    <mergeCell ref="I88:I89"/>
    <mergeCell ref="J88:J89"/>
    <mergeCell ref="J84:J85"/>
    <mergeCell ref="K88:K89"/>
    <mergeCell ref="A102:A105"/>
    <mergeCell ref="C102:C105"/>
    <mergeCell ref="E106:E109"/>
    <mergeCell ref="A99:A101"/>
    <mergeCell ref="C99:C101"/>
    <mergeCell ref="D99:D101"/>
    <mergeCell ref="E99:E101"/>
    <mergeCell ref="D106:D109"/>
    <mergeCell ref="D102:D105"/>
    <mergeCell ref="E102:E105"/>
    <mergeCell ref="C106:C109"/>
    <mergeCell ref="K106:K107"/>
    <mergeCell ref="A110:A113"/>
    <mergeCell ref="C110:C113"/>
    <mergeCell ref="D110:D113"/>
    <mergeCell ref="E110:E113"/>
    <mergeCell ref="F110:F111"/>
    <mergeCell ref="G110:G111"/>
    <mergeCell ref="I106:I107"/>
    <mergeCell ref="A106:A109"/>
    <mergeCell ref="F118:F119"/>
    <mergeCell ref="A114:A117"/>
    <mergeCell ref="C114:C117"/>
    <mergeCell ref="D114:D117"/>
    <mergeCell ref="E114:E117"/>
    <mergeCell ref="F114:F115"/>
    <mergeCell ref="A118:A121"/>
    <mergeCell ref="C118:C121"/>
    <mergeCell ref="D118:D121"/>
    <mergeCell ref="E118:E121"/>
    <mergeCell ref="E125:E127"/>
    <mergeCell ref="A131:A133"/>
    <mergeCell ref="C131:C133"/>
    <mergeCell ref="D131:D133"/>
    <mergeCell ref="E131:E133"/>
    <mergeCell ref="D134:D136"/>
    <mergeCell ref="A134:A136"/>
    <mergeCell ref="C134:C136"/>
    <mergeCell ref="A122:A124"/>
    <mergeCell ref="C122:C124"/>
    <mergeCell ref="D122:D124"/>
    <mergeCell ref="E122:E124"/>
    <mergeCell ref="E134:E136"/>
    <mergeCell ref="A125:A127"/>
    <mergeCell ref="C125:C127"/>
    <mergeCell ref="D125:D127"/>
    <mergeCell ref="D145:D148"/>
    <mergeCell ref="E145:E148"/>
    <mergeCell ref="E137:E140"/>
    <mergeCell ref="A128:A130"/>
    <mergeCell ref="C128:C130"/>
    <mergeCell ref="D128:D130"/>
    <mergeCell ref="E128:E130"/>
    <mergeCell ref="A137:A140"/>
    <mergeCell ref="C137:C140"/>
    <mergeCell ref="D137:D140"/>
    <mergeCell ref="A141:A144"/>
    <mergeCell ref="C141:C144"/>
    <mergeCell ref="D141:D144"/>
    <mergeCell ref="E141:E144"/>
    <mergeCell ref="A149:A152"/>
    <mergeCell ref="C149:C152"/>
    <mergeCell ref="D149:D152"/>
    <mergeCell ref="E149:E152"/>
    <mergeCell ref="A145:A148"/>
    <mergeCell ref="C145:C148"/>
    <mergeCell ref="F141:F142"/>
    <mergeCell ref="H141:H142"/>
    <mergeCell ref="F149:F150"/>
    <mergeCell ref="G149:G150"/>
    <mergeCell ref="F145:F146"/>
    <mergeCell ref="G145:G146"/>
    <mergeCell ref="K149:K150"/>
    <mergeCell ref="J149:J150"/>
    <mergeCell ref="F137:F138"/>
    <mergeCell ref="I141:I142"/>
    <mergeCell ref="J141:J142"/>
    <mergeCell ref="K141:K142"/>
    <mergeCell ref="I137:I138"/>
    <mergeCell ref="G141:G142"/>
    <mergeCell ref="L141:L142"/>
    <mergeCell ref="G137:G138"/>
    <mergeCell ref="V153:V155"/>
    <mergeCell ref="V156:V158"/>
    <mergeCell ref="I149:I150"/>
    <mergeCell ref="L149:L150"/>
    <mergeCell ref="C167:C168"/>
    <mergeCell ref="F167:F168"/>
    <mergeCell ref="V167:V168"/>
    <mergeCell ref="B159:E159"/>
    <mergeCell ref="V159:V161"/>
    <mergeCell ref="B160:E160"/>
    <mergeCell ref="B161:E161"/>
    <mergeCell ref="C162:C164"/>
    <mergeCell ref="P137:P138"/>
    <mergeCell ref="T137:T138"/>
    <mergeCell ref="H137:H138"/>
    <mergeCell ref="V162:V164"/>
    <mergeCell ref="V165:V166"/>
    <mergeCell ref="V149:V152"/>
    <mergeCell ref="P149:P150"/>
    <mergeCell ref="H149:H150"/>
    <mergeCell ref="L114:L115"/>
    <mergeCell ref="J137:J138"/>
    <mergeCell ref="K137:K138"/>
    <mergeCell ref="L137:L138"/>
    <mergeCell ref="J114:J115"/>
    <mergeCell ref="R110:R111"/>
    <mergeCell ref="P110:P111"/>
    <mergeCell ref="T141:T142"/>
    <mergeCell ref="R141:R142"/>
    <mergeCell ref="P141:P142"/>
    <mergeCell ref="Q141:Q142"/>
    <mergeCell ref="R118:R119"/>
    <mergeCell ref="Q137:Q138"/>
    <mergeCell ref="R137:R138"/>
    <mergeCell ref="S118:S119"/>
    <mergeCell ref="R114:R115"/>
    <mergeCell ref="H145:H146"/>
    <mergeCell ref="I145:I146"/>
    <mergeCell ref="J145:J146"/>
    <mergeCell ref="K145:K146"/>
    <mergeCell ref="R145:R146"/>
    <mergeCell ref="Q145:Q146"/>
    <mergeCell ref="L145:L146"/>
    <mergeCell ref="N145:N148"/>
    <mergeCell ref="K114:K115"/>
    <mergeCell ref="O145:O146"/>
    <mergeCell ref="U145:U146"/>
    <mergeCell ref="V145:V148"/>
    <mergeCell ref="Q110:Q111"/>
    <mergeCell ref="V141:V144"/>
    <mergeCell ref="U141:U142"/>
    <mergeCell ref="V125:V127"/>
    <mergeCell ref="V118:V121"/>
    <mergeCell ref="S145:S146"/>
    <mergeCell ref="O118:O119"/>
    <mergeCell ref="G118:G119"/>
    <mergeCell ref="L118:L119"/>
    <mergeCell ref="H118:H119"/>
    <mergeCell ref="I118:I119"/>
    <mergeCell ref="J118:J119"/>
    <mergeCell ref="K118:K119"/>
    <mergeCell ref="G114:G115"/>
    <mergeCell ref="H110:H111"/>
    <mergeCell ref="H114:H115"/>
    <mergeCell ref="I114:I115"/>
    <mergeCell ref="I110:I111"/>
    <mergeCell ref="J110:J111"/>
    <mergeCell ref="N96:N98"/>
    <mergeCell ref="O92:O93"/>
    <mergeCell ref="P102:P103"/>
    <mergeCell ref="G106:G107"/>
    <mergeCell ref="L106:L107"/>
    <mergeCell ref="K110:K111"/>
    <mergeCell ref="P106:P107"/>
    <mergeCell ref="L110:L111"/>
    <mergeCell ref="J102:J103"/>
    <mergeCell ref="K102:K103"/>
    <mergeCell ref="K84:K85"/>
    <mergeCell ref="L84:L85"/>
    <mergeCell ref="U106:U107"/>
    <mergeCell ref="T145:T146"/>
    <mergeCell ref="S137:S138"/>
    <mergeCell ref="U102:U103"/>
    <mergeCell ref="T110:T111"/>
    <mergeCell ref="U110:U111"/>
    <mergeCell ref="U118:U119"/>
    <mergeCell ref="T106:T107"/>
    <mergeCell ref="U137:U138"/>
    <mergeCell ref="S106:S107"/>
    <mergeCell ref="T118:T119"/>
    <mergeCell ref="S114:S115"/>
    <mergeCell ref="T114:T115"/>
    <mergeCell ref="S110:S111"/>
    <mergeCell ref="P145:P146"/>
    <mergeCell ref="N99:N101"/>
    <mergeCell ref="O110:O111"/>
    <mergeCell ref="Q118:Q119"/>
    <mergeCell ref="P118:P119"/>
    <mergeCell ref="Q106:Q107"/>
    <mergeCell ref="C88:C91"/>
    <mergeCell ref="D88:D91"/>
    <mergeCell ref="E88:E91"/>
    <mergeCell ref="F88:F89"/>
    <mergeCell ref="L92:L93"/>
    <mergeCell ref="J92:J93"/>
    <mergeCell ref="H92:H93"/>
    <mergeCell ref="K92:K93"/>
    <mergeCell ref="A92:A95"/>
    <mergeCell ref="N84:N87"/>
    <mergeCell ref="O84:O85"/>
    <mergeCell ref="P84:P85"/>
    <mergeCell ref="U92:U93"/>
    <mergeCell ref="N88:N91"/>
    <mergeCell ref="B98:E98"/>
    <mergeCell ref="B96:E96"/>
    <mergeCell ref="D92:D95"/>
    <mergeCell ref="E92:E95"/>
    <mergeCell ref="C92:C95"/>
    <mergeCell ref="B97:E97"/>
    <mergeCell ref="F92:F93"/>
    <mergeCell ref="G92:G93"/>
    <mergeCell ref="C84:C87"/>
    <mergeCell ref="F72:F73"/>
    <mergeCell ref="G72:G73"/>
    <mergeCell ref="I80:I81"/>
    <mergeCell ref="J80:J81"/>
    <mergeCell ref="I84:I85"/>
    <mergeCell ref="G76:G77"/>
    <mergeCell ref="G80:G81"/>
    <mergeCell ref="H84:H85"/>
    <mergeCell ref="G84:G85"/>
    <mergeCell ref="H76:H77"/>
    <mergeCell ref="I92:I93"/>
    <mergeCell ref="A80:A83"/>
    <mergeCell ref="C80:C83"/>
    <mergeCell ref="A72:A75"/>
    <mergeCell ref="C72:C75"/>
    <mergeCell ref="D72:D75"/>
    <mergeCell ref="E72:E75"/>
    <mergeCell ref="E84:E87"/>
    <mergeCell ref="F84:F85"/>
    <mergeCell ref="H88:H89"/>
    <mergeCell ref="I76:I77"/>
    <mergeCell ref="H80:H81"/>
    <mergeCell ref="A76:A79"/>
    <mergeCell ref="C76:C79"/>
    <mergeCell ref="D76:D79"/>
    <mergeCell ref="E76:E79"/>
    <mergeCell ref="F76:F77"/>
    <mergeCell ref="Q80:Q81"/>
    <mergeCell ref="Q84:Q85"/>
    <mergeCell ref="U80:U81"/>
    <mergeCell ref="A88:A91"/>
    <mergeCell ref="G88:G89"/>
    <mergeCell ref="A84:A87"/>
    <mergeCell ref="D80:D83"/>
    <mergeCell ref="E80:E83"/>
    <mergeCell ref="F80:F81"/>
    <mergeCell ref="D84:D87"/>
    <mergeCell ref="AA84:AA87"/>
    <mergeCell ref="V84:V87"/>
    <mergeCell ref="V81:V83"/>
    <mergeCell ref="U84:U85"/>
    <mergeCell ref="R88:R89"/>
    <mergeCell ref="T84:T85"/>
    <mergeCell ref="T80:T81"/>
    <mergeCell ref="R80:R81"/>
    <mergeCell ref="U88:U89"/>
    <mergeCell ref="T88:T89"/>
    <mergeCell ref="Z80:Z83"/>
    <mergeCell ref="X137:X140"/>
    <mergeCell ref="Y134:Y136"/>
    <mergeCell ref="AA141:AA144"/>
    <mergeCell ref="Y76:Y79"/>
    <mergeCell ref="AA92:AA95"/>
    <mergeCell ref="Z92:Z95"/>
    <mergeCell ref="Z88:Z91"/>
    <mergeCell ref="AA88:AA91"/>
    <mergeCell ref="Z84:Z87"/>
    <mergeCell ref="Y92:Y95"/>
    <mergeCell ref="Y84:Y87"/>
    <mergeCell ref="X80:X83"/>
    <mergeCell ref="X92:X95"/>
    <mergeCell ref="Z76:Z79"/>
    <mergeCell ref="AA76:AA79"/>
    <mergeCell ref="X84:X87"/>
    <mergeCell ref="X88:X91"/>
    <mergeCell ref="Y80:Y83"/>
    <mergeCell ref="AA80:AA83"/>
    <mergeCell ref="V92:V95"/>
    <mergeCell ref="Y88:Y91"/>
    <mergeCell ref="AA110:AA113"/>
    <mergeCell ref="X102:X105"/>
    <mergeCell ref="V88:V91"/>
    <mergeCell ref="Z106:Z109"/>
    <mergeCell ref="Y110:Y113"/>
    <mergeCell ref="Z96:Z98"/>
    <mergeCell ref="AA96:AA98"/>
    <mergeCell ref="AA99:AA101"/>
    <mergeCell ref="V128:V130"/>
    <mergeCell ref="V96:V98"/>
    <mergeCell ref="Z125:Z127"/>
    <mergeCell ref="Z114:Z117"/>
    <mergeCell ref="Y118:Y121"/>
    <mergeCell ref="Y102:Y105"/>
    <mergeCell ref="X96:X98"/>
    <mergeCell ref="Y96:Y98"/>
    <mergeCell ref="Y122:Y124"/>
    <mergeCell ref="Z122:Z124"/>
    <mergeCell ref="AA134:AA136"/>
    <mergeCell ref="AA118:AA121"/>
    <mergeCell ref="AA114:AA117"/>
    <mergeCell ref="AA149:AA152"/>
    <mergeCell ref="Y149:Y152"/>
    <mergeCell ref="Z149:Z152"/>
    <mergeCell ref="Y145:Y148"/>
    <mergeCell ref="Z110:Z113"/>
    <mergeCell ref="AA106:AA109"/>
    <mergeCell ref="X122:X124"/>
    <mergeCell ref="AA125:AA127"/>
    <mergeCell ref="AA122:AA124"/>
    <mergeCell ref="Y114:Y117"/>
    <mergeCell ref="Z137:Z140"/>
    <mergeCell ref="AA137:AA140"/>
    <mergeCell ref="X141:X144"/>
    <mergeCell ref="Z145:Z148"/>
    <mergeCell ref="AA145:AA148"/>
    <mergeCell ref="Z141:Z144"/>
    <mergeCell ref="X110:X113"/>
    <mergeCell ref="X128:X130"/>
    <mergeCell ref="X106:X109"/>
    <mergeCell ref="Y128:Y130"/>
    <mergeCell ref="X149:X152"/>
    <mergeCell ref="Y131:Y133"/>
    <mergeCell ref="X134:X136"/>
    <mergeCell ref="Z118:Z121"/>
    <mergeCell ref="X114:X117"/>
    <mergeCell ref="V102:V105"/>
    <mergeCell ref="V134:V136"/>
    <mergeCell ref="V122:V124"/>
    <mergeCell ref="V110:V113"/>
    <mergeCell ref="X118:X121"/>
    <mergeCell ref="V114:V117"/>
    <mergeCell ref="V131:V133"/>
    <mergeCell ref="X131:X133"/>
    <mergeCell ref="AA102:AA105"/>
    <mergeCell ref="Z99:Z101"/>
    <mergeCell ref="V106:V109"/>
    <mergeCell ref="X99:X101"/>
    <mergeCell ref="Y106:Y109"/>
    <mergeCell ref="V99:V101"/>
    <mergeCell ref="Z102:Z105"/>
    <mergeCell ref="Y99:Y101"/>
    <mergeCell ref="Z128:Z130"/>
    <mergeCell ref="AA128:AA130"/>
    <mergeCell ref="Y125:Y127"/>
    <mergeCell ref="X145:X148"/>
    <mergeCell ref="Y137:Y140"/>
    <mergeCell ref="Y141:Y144"/>
    <mergeCell ref="Z134:Z136"/>
    <mergeCell ref="X125:X127"/>
    <mergeCell ref="Z131:Z133"/>
    <mergeCell ref="AA131:AA133"/>
  </mergeCells>
  <printOptions horizontalCentered="1"/>
  <pageMargins left="0.11811023622047245" right="0.11811023622047245" top="0.72" bottom="0.34" header="0.31496062992125984" footer="0.24"/>
  <pageSetup horizontalDpi="600" verticalDpi="600" orientation="landscape" paperSize="9" scale="44" r:id="rId3"/>
  <headerFooter>
    <oddFooter>&amp;CStrona &amp;P</oddFooter>
  </headerFooter>
  <rowBreaks count="4" manualBreakCount="4">
    <brk id="35" max="11" man="1"/>
    <brk id="71" max="11" man="1"/>
    <brk id="105" max="11" man="1"/>
    <brk id="140" max="11" man="1"/>
  </rowBreaks>
  <colBreaks count="5" manualBreakCount="5">
    <brk id="12" max="65535" man="1"/>
    <brk id="17" max="147" man="1"/>
    <brk id="23" max="65535" man="1"/>
    <brk id="464" max="147" man="1"/>
    <brk id="11932" max="147" man="1"/>
  </colBreaks>
  <ignoredErrors>
    <ignoredError sqref="X13:X14" evalError="1"/>
    <ignoredError sqref="P57 G11:G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2012-10-16T07:55:01Z</cp:lastPrinted>
  <dcterms:created xsi:type="dcterms:W3CDTF">2006-09-16T00:00:00Z</dcterms:created>
  <dcterms:modified xsi:type="dcterms:W3CDTF">2012-10-16T08:04:53Z</dcterms:modified>
  <cp:category/>
  <cp:version/>
  <cp:contentType/>
  <cp:contentStatus/>
</cp:coreProperties>
</file>